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<sst xmlns="http://schemas.openxmlformats.org/spreadsheetml/2006/main" count="3464" uniqueCount="2220">
  <si>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</si>
  <si>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</si>
  <si>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</si>
  <si>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</si>
  <si>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</si>
  <si>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</si>
  <si>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</si>
  <si>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</si>
  <si>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</si>
  <si>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</si>
  <si>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</si>
  <si>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</si>
  <si>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</si>
  <si>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</si>
  <si>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</si>
  <si>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</si>
  <si>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</si>
  <si>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</si>
  <si>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</si>
  <si>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</si>
  <si>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</si>
  <si>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</si>
  <si>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</si>
  <si>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</si>
  <si>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</si>
  <si>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</si>
  <si>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</si>
  <si>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</si>
  <si>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</si>
  <si>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</si>
  <si>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</si>
  <si>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</si>
  <si>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</si>
  <si>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</si>
  <si>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</si>
  <si>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</si>
  <si>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</si>
  <si>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</si>
  <si>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</si>
  <si>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</si>
  <si>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</si>
  <si>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</si>
  <si>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</si>
  <si>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</si>
  <si>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</si>
  <si>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</si>
  <si>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</si>
  <si>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</si>
  <si>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</si>
  <si>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</si>
  <si>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</si>
  <si>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</si>
  <si>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</si>
  <si>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</si>
  <si>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</si>
  <si>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</si>
  <si>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</si>
  <si>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</si>
  <si>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</si>
  <si>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</si>
  <si>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</si>
  <si>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</si>
  <si>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</si>
  <si>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</si>
  <si>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</si>
  <si>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</si>
  <si>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</si>
  <si>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</si>
  <si>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</si>
  <si>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</si>
  <si>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</si>
  <si>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</si>
  <si>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</si>
  <si>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</si>
  <si>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</si>
  <si>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</si>
  <si>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</si>
  <si>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</si>
  <si>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</si>
  <si>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</si>
  <si>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</si>
  <si>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</si>
  <si>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</si>
  <si>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</si>
  <si>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</si>
  <si>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</si>
  <si>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</si>
  <si>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</si>
  <si>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</si>
  <si>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</si>
  <si>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</si>
  <si>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</si>
  <si>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</si>
  <si>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</si>
  <si>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</si>
  <si>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</si>
  <si>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</si>
  <si>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</si>
  <si>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</si>
  <si>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</si>
  <si>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</si>
  <si>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</si>
  <si>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</si>
  <si>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</si>
  <si>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</si>
  <si>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</si>
  <si>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</si>
  <si>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</si>
  <si>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</si>
  <si>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</si>
  <si>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</si>
  <si>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</si>
  <si>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</si>
  <si>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</si>
  <si>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</si>
  <si>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</si>
  <si>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</si>
  <si>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</si>
  <si>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</si>
  <si>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</si>
  <si>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</si>
  <si>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</si>
  <si>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</si>
  <si>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</si>
  <si>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</si>
  <si>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</si>
  <si>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</si>
  <si>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</si>
  <si>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</si>
  <si>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</si>
  <si>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</si>
  <si>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</si>
  <si>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</si>
  <si>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</si>
  <si>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</si>
  <si>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</si>
  <si>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</si>
  <si>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</si>
  <si>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</si>
  <si>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</si>
  <si>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</si>
  <si>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</si>
  <si>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</si>
  <si>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</si>
  <si>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</si>
  <si>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</si>
  <si>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</si>
  <si>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</si>
  <si>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</si>
  <si>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</si>
  <si>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</si>
  <si>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</si>
  <si>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</si>
  <si>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</si>
  <si>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</si>
  <si>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</si>
  <si>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</si>
  <si>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</si>
  <si>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</si>
  <si>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</si>
  <si>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</si>
  <si>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</si>
  <si>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</si>
  <si>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</si>
  <si>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</si>
  <si>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</si>
  <si>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</si>
  <si>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</si>
  <si>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</si>
  <si>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</si>
  <si>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</si>
  <si>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</si>
  <si>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</si>
  <si>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</si>
  <si>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</si>
  <si>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</si>
  <si>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</si>
  <si>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</si>
  <si>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</si>
  <si>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</si>
  <si>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</si>
  <si>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</si>
  <si>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</si>
  <si>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</si>
  <si>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</si>
  <si>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</si>
  <si>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</si>
  <si>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</si>
  <si>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</si>
  <si>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</si>
  <si>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</si>
  <si>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</si>
  <si>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</si>
  <si>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</si>
  <si>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</si>
  <si>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</si>
  <si>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</si>
  <si>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</si>
  <si>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</si>
  <si>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</si>
  <si>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</si>
  <si>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</si>
  <si>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</si>
  <si>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</si>
  <si>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</si>
  <si>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</si>
  <si>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</si>
  <si>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</si>
  <si>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</si>
  <si>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</si>
  <si>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</si>
  <si>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</si>
  <si>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</si>
  <si>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</si>
  <si>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</si>
  <si>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</si>
  <si>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</si>
  <si>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</si>
  <si>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</si>
  <si>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</si>
  <si>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</si>
  <si>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</si>
  <si>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</si>
  <si>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</si>
  <si>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</si>
  <si>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</si>
  <si>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</si>
  <si>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</si>
  <si>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</si>
  <si>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</si>
  <si>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</si>
  <si>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</si>
  <si>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</si>
  <si>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</si>
  <si>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</si>
  <si>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</si>
  <si>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</si>
  <si>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</si>
  <si>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</si>
  <si>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</si>
  <si>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</si>
  <si>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</si>
  <si>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</si>
  <si>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</si>
  <si>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</si>
  <si>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</si>
  <si>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</si>
  <si>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</si>
  <si>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</si>
  <si>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</si>
  <si>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</si>
  <si>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</si>
  <si>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</si>
  <si>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</si>
  <si>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</si>
  <si>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</si>
  <si>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</si>
  <si>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</si>
  <si>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</si>
  <si>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</si>
  <si>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</si>
  <si>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</si>
  <si>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</si>
  <si>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</si>
  <si>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</si>
  <si>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</si>
  <si>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</si>
  <si>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</si>
  <si>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</si>
  <si>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</si>
  <si>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</si>
  <si>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</si>
  <si>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</si>
  <si>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</si>
  <si>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</si>
  <si>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</si>
  <si>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</si>
  <si>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</si>
  <si>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</si>
  <si>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</si>
  <si>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</si>
  <si>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</si>
  <si>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</si>
  <si>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</si>
  <si>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</si>
  <si>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</si>
  <si>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</si>
  <si>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</si>
  <si>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</si>
  <si>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</si>
  <si>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</si>
  <si>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</si>
  <si>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</si>
  <si>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</si>
  <si>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</si>
  <si>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</si>
  <si>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</si>
  <si>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</si>
  <si>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</si>
  <si>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</si>
  <si>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</si>
  <si>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</si>
  <si>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</si>
  <si>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</si>
  <si>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</si>
  <si>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</si>
  <si>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</si>
  <si>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</si>
  <si>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</si>
  <si>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</si>
  <si>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</si>
  <si>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</si>
  <si>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</si>
  <si>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</si>
  <si>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</si>
  <si>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</si>
  <si>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</si>
  <si>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</si>
  <si>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</si>
  <si>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</si>
  <si>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</si>
  <si>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</si>
  <si>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</si>
  <si>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</si>
  <si>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</si>
  <si>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</si>
  <si>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</si>
  <si>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</si>
  <si>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</si>
  <si>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</si>
  <si>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</si>
  <si>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</si>
  <si>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</si>
  <si>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</si>
  <si>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</si>
  <si>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</si>
  <si>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</si>
  <si>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</si>
  <si>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</si>
  <si>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</si>
  <si>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</si>
  <si>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</si>
  <si>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</si>
  <si>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</si>
  <si>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</si>
  <si>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</si>
  <si>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</si>
  <si>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</si>
  <si>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</si>
  <si>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</si>
  <si>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</si>
  <si>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</si>
  <si>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</si>
  <si>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</si>
  <si>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</si>
  <si>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</si>
  <si>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</si>
  <si>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</si>
  <si>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</si>
  <si>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</si>
  <si>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</si>
  <si>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</si>
  <si>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</si>
  <si>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</si>
  <si>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</si>
  <si>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</si>
  <si>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</si>
  <si>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</si>
  <si>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</si>
  <si>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</si>
  <si>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</si>
  <si>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</si>
  <si>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</si>
  <si>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</si>
  <si>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</si>
  <si>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</si>
  <si>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</si>
  <si>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</si>
  <si>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</si>
  <si>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</si>
  <si>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</si>
  <si>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</si>
  <si>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</si>
  <si>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</si>
  <si>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</si>
  <si>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</si>
  <si>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</si>
  <si>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</si>
  <si>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</si>
  <si>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</si>
  <si>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</si>
  <si>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</si>
  <si>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</si>
  <si>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</si>
  <si>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</si>
  <si>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</si>
  <si>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</si>
  <si>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</si>
  <si>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</si>
  <si>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</si>
  <si>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</si>
  <si>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</si>
  <si>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</si>
  <si>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</si>
  <si>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</si>
  <si>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</si>
  <si>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</si>
  <si>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</si>
  <si>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</si>
  <si>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</si>
  <si>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</si>
  <si>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</si>
  <si>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</si>
  <si>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</si>
  <si>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</si>
  <si>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</si>
  <si>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</si>
  <si>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</si>
  <si>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</si>
  <si>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</si>
  <si>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</si>
  <si>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</si>
  <si>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</si>
  <si>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</si>
  <si>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</si>
  <si>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</si>
  <si>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</si>
  <si>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</si>
  <si>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</si>
  <si>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</si>
  <si>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</si>
  <si>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</si>
  <si>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</si>
  <si>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</si>
  <si>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</si>
  <si>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</si>
  <si>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</si>
  <si>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</si>
  <si>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</si>
  <si>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</si>
  <si>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</si>
  <si>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</si>
  <si>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</si>
  <si>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</si>
  <si>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</si>
  <si>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</si>
  <si>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</si>
  <si>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</si>
  <si>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</si>
  <si>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</si>
  <si>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</si>
  <si>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</si>
  <si>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</si>
  <si>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</si>
  <si>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</si>
  <si>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</si>
  <si>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</si>
  <si>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</si>
  <si>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</si>
  <si>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</si>
  <si>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</si>
  <si>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</si>
  <si>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</si>
  <si>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</si>
  <si>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</si>
  <si>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</si>
  <si>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</si>
  <si>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</si>
  <si>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</si>
  <si>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</si>
  <si>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</si>
  <si>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</si>
  <si>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</si>
  <si>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</si>
  <si>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</si>
  <si>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</si>
  <si>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</si>
  <si>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</si>
  <si>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</si>
  <si>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</si>
  <si>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</si>
  <si>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</si>
  <si>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</si>
  <si>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</si>
  <si>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</si>
  <si>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</si>
  <si>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</si>
  <si>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</si>
  <si>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</si>
  <si>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</si>
  <si>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</si>
  <si>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</si>
  <si>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</si>
  <si>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</si>
  <si>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</si>
  <si>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</si>
  <si>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</si>
  <si>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</si>
  <si>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</si>
  <si>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</si>
  <si>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</si>
  <si>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</si>
  <si>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</si>
  <si>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</si>
  <si>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</si>
  <si>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</si>
  <si>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</si>
  <si>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</si>
  <si>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</si>
  <si>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</si>
  <si>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</si>
  <si>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</si>
  <si>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</si>
  <si>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</si>
  <si>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</si>
  <si>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</si>
  <si>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</si>
  <si>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</si>
  <si>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</si>
  <si>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</si>
  <si>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</si>
  <si>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</si>
  <si>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</si>
  <si>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</si>
  <si>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</si>
  <si>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</si>
  <si>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</si>
  <si>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</si>
  <si>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</si>
  <si>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</si>
  <si>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</si>
  <si>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</si>
  <si>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</si>
  <si>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</si>
  <si>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</si>
  <si>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</si>
  <si>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</si>
  <si>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</si>
  <si>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</si>
  <si>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</si>
  <si>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</si>
  <si>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</si>
  <si>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</si>
  <si>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</si>
  <si>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</si>
  <si>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</si>
  <si>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</si>
  <si>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</si>
  <si>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</si>
  <si>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</si>
  <si>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</si>
  <si>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</si>
  <si>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</si>
  <si>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</si>
  <si>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</si>
  <si>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</si>
  <si>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</si>
  <si>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</si>
  <si>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</si>
  <si>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</si>
  <si>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</si>
  <si>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</si>
  <si>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</si>
  <si>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</si>
  <si>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</si>
  <si>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</si>
  <si>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</si>
  <si>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</si>
  <si>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</si>
  <si>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</si>
  <si>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</si>
  <si>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</si>
  <si>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</si>
  <si>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</si>
  <si>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</si>
  <si>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</si>
  <si>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</si>
  <si>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</si>
  <si>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</si>
  <si>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</si>
  <si>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</si>
  <si>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</si>
  <si>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</si>
  <si>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</si>
  <si>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</si>
  <si>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</si>
  <si>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</si>
  <si>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</si>
  <si>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</si>
  <si>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</si>
  <si>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</si>
  <si>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</si>
  <si>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</si>
  <si>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</si>
  <si>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</si>
  <si>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</si>
  <si>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</si>
  <si>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</si>
  <si>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</si>
  <si>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</si>
  <si>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</si>
  <si>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</si>
  <si>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</si>
  <si>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</si>
  <si>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</si>
  <si>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</si>
  <si>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</si>
  <si>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</si>
  <si>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</si>
  <si>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</si>
  <si>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</si>
  <si>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</si>
  <si>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</si>
  <si>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</si>
  <si>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</si>
  <si>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</si>
  <si>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</si>
  <si>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</si>
  <si>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</si>
  <si>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</si>
  <si>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</si>
  <si>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</si>
  <si>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</si>
  <si>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</si>
  <si>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</si>
  <si>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</si>
  <si>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</si>
  <si>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</si>
  <si>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</si>
  <si>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</si>
  <si>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</si>
  <si>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</si>
  <si>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</si>
  <si>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</si>
  <si>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</si>
  <si>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</si>
  <si>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</si>
  <si>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</si>
  <si>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</si>
  <si>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</si>
  <si>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</si>
  <si>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</si>
  <si>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</si>
  <si>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</si>
  <si>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</si>
  <si>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</si>
  <si>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</si>
  <si>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</si>
  <si>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</si>
  <si>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</si>
  <si>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</si>
  <si>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</si>
  <si>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</si>
  <si>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</si>
  <si>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</si>
  <si>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</si>
  <si>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</si>
  <si>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</si>
  <si>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</si>
  <si>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</si>
  <si>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</si>
  <si>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</si>
  <si>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</si>
  <si>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</si>
  <si>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</si>
  <si>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</si>
  <si>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</si>
  <si>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</si>
  <si>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</si>
  <si>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</si>
  <si>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</si>
  <si>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</si>
  <si>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</si>
  <si>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</si>
  <si>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</si>
  <si>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</si>
  <si>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</si>
  <si>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</si>
  <si>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</si>
  <si>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</si>
  <si>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</si>
  <si>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</si>
  <si>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</si>
  <si>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</si>
  <si>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</si>
  <si>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</si>
  <si>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</si>
  <si>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</si>
  <si>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</si>
  <si>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</si>
  <si>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</si>
  <si>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</si>
  <si>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</si>
  <si>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</si>
  <si>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</si>
  <si>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</si>
  <si>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</si>
  <si>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</si>
  <si>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</si>
  <si>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</si>
  <si>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</si>
  <si>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</si>
  <si>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</si>
  <si>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</si>
  <si>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</si>
  <si>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</si>
  <si>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</si>
  <si>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</si>
  <si>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</si>
  <si>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</si>
  <si>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</si>
  <si>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</si>
  <si>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</si>
  <si>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</si>
  <si>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</si>
  <si>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</si>
  <si>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</si>
  <si>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</si>
  <si>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</si>
  <si>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</si>
  <si>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</si>
  <si>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</si>
  <si>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</si>
  <si>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</si>
  <si>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</si>
  <si>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</si>
  <si>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</si>
  <si>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</si>
  <si>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</si>
  <si>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</si>
  <si>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</si>
  <si>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</si>
  <si>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</si>
  <si>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</si>
  <si>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</si>
  <si>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</si>
  <si>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</si>
  <si>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</si>
  <si>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</si>
  <si>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</si>
  <si>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</si>
  <si>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</si>
  <si>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</si>
  <si>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</si>
  <si>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</si>
  <si>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</si>
  <si>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</si>
  <si>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</si>
  <si>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</si>
  <si>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</si>
  <si>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</si>
  <si>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</si>
  <si>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</si>
  <si>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</si>
  <si>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</si>
  <si>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</si>
  <si>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</si>
  <si>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</si>
  <si>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</si>
  <si>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</si>
  <si>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</si>
  <si>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</si>
  <si>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</si>
  <si>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</si>
  <si>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</si>
  <si>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</si>
  <si>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</si>
  <si>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</si>
  <si>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</si>
  <si>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</si>
  <si>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</si>
  <si>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</si>
  <si>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</si>
  <si>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</si>
  <si>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</si>
  <si>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</si>
  <si>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</si>
  <si>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</si>
  <si>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</si>
  <si>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</si>
  <si>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</si>
  <si>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</si>
  <si>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</si>
  <si>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</si>
  <si>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</si>
  <si>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</si>
  <si>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</si>
  <si>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</si>
  <si>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</si>
  <si>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</si>
  <si>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</si>
  <si>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</si>
  <si>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</si>
  <si>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</si>
  <si>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</si>
  <si>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</si>
  <si>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</si>
  <si>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</si>
  <si>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</si>
  <si>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</si>
  <si>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</si>
  <si>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</si>
  <si>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</si>
  <si>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</si>
  <si>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</si>
  <si>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</si>
  <si>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</si>
  <si>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</si>
  <si>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</si>
  <si>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</si>
  <si>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</si>
  <si>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</si>
  <si>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</si>
  <si>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</si>
  <si>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</si>
  <si>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</si>
  <si>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</si>
  <si>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</si>
  <si>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</si>
  <si>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</si>
  <si>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</si>
  <si>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</si>
  <si>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</si>
  <si>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</si>
  <si>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</si>
  <si>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</si>
  <si>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</si>
  <si>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</si>
  <si>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</si>
  <si>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</si>
  <si>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</si>
  <si>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</si>
  <si>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</si>
  <si>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</si>
  <si>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</si>
  <si>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</si>
  <si>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</si>
  <si>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</si>
  <si>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</si>
  <si>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</si>
  <si>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</si>
  <si>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</si>
  <si>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</si>
  <si>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</si>
  <si>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</si>
  <si>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</si>
  <si>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</si>
  <si>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</si>
  <si>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</si>
  <si>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</si>
  <si>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</si>
  <si>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</si>
  <si>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</si>
  <si>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</si>
  <si>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</si>
  <si>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</si>
  <si>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</si>
  <si>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</si>
  <si>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</si>
  <si>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</si>
  <si>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</si>
  <si>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</si>
  <si>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</si>
  <si>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</si>
  <si>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</si>
  <si>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</si>
  <si>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</si>
  <si>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</si>
  <si>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</si>
  <si>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</si>
  <si>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</si>
  <si>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</si>
  <si>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</si>
  <si>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</si>
  <si>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</si>
  <si>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</si>
  <si>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</si>
  <si>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</si>
  <si>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</si>
  <si>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</si>
  <si>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</si>
  <si>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</si>
  <si>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</si>
  <si>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</si>
  <si>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</si>
  <si>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</si>
  <si>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</si>
  <si>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</si>
  <si>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</si>
  <si>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</si>
  <si>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</si>
  <si>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</si>
  <si>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</si>
  <si>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</si>
  <si>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</si>
  <si>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</si>
  <si>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</si>
  <si>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</si>
  <si>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</si>
  <si>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</si>
  <si>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</si>
  <si>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</si>
  <si>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</si>
  <si>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</si>
  <si>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</si>
  <si>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</si>
  <si>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</si>
  <si>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</si>
  <si>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</si>
  <si>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</si>
  <si>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</si>
  <si>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</si>
  <si>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</si>
  <si>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</si>
  <si>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</si>
  <si>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</si>
  <si>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</si>
  <si>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</si>
  <si>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</si>
  <si>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</si>
  <si>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</si>
  <si>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</si>
  <si>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</si>
  <si>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</si>
  <si>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</si>
  <si>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</si>
  <si>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</si>
  <si>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</si>
  <si>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</si>
  <si>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</si>
  <si>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</si>
  <si>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</si>
  <si>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</si>
  <si>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</si>
  <si>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</si>
  <si>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</si>
  <si>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</si>
  <si>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</si>
  <si>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</si>
  <si>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</si>
  <si>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</si>
  <si>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</si>
  <si>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</si>
  <si>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</si>
  <si>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</si>
  <si>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</si>
  <si>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</si>
  <si>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</si>
  <si>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</si>
  <si>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</si>
  <si>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</si>
  <si>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</si>
  <si>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</si>
  <si>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</si>
  <si>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</si>
  <si>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</si>
  <si>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</si>
  <si>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</si>
  <si>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</si>
  <si>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</si>
  <si>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</si>
  <si>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</si>
  <si>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</si>
  <si>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</si>
  <si>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</si>
  <si>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</si>
  <si>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</si>
  <si>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</si>
  <si>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</si>
  <si>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</si>
  <si>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</si>
  <si>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</si>
  <si>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</si>
  <si>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</si>
  <si>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</si>
  <si>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</si>
  <si>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</si>
  <si>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</si>
  <si>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</si>
  <si>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</si>
  <si>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</si>
  <si>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</si>
  <si>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</si>
  <si>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</si>
  <si>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</si>
  <si>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</si>
  <si>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</si>
  <si>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</si>
  <si>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</si>
  <si>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</si>
  <si>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</si>
  <si>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</si>
  <si>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</si>
  <si>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</si>
  <si>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</si>
  <si>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</si>
  <si>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</si>
  <si>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</si>
  <si>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</si>
  <si>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</si>
  <si>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</si>
  <si>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</si>
  <si>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</si>
  <si>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</si>
  <si>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</si>
  <si>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</si>
  <si>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</si>
  <si>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</si>
  <si>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</si>
  <si>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</si>
  <si>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</si>
  <si>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</si>
  <si>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</si>
  <si>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</si>
  <si>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</si>
  <si>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</si>
  <si>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</si>
  <si>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</si>
  <si>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</si>
  <si>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</si>
  <si>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</si>
  <si>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</si>
  <si>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</si>
  <si>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</si>
  <si>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</si>
  <si>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</si>
  <si>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</si>
  <si>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</si>
  <si>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</si>
  <si>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</si>
  <si>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</si>
  <si>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</si>
  <si>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</si>
  <si>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</si>
  <si>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</si>
  <si>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</si>
  <si>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</si>
  <si>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</si>
  <si>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</si>
  <si>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</si>
  <si>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</si>
  <si>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</si>
  <si>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</si>
  <si>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</si>
  <si>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</si>
  <si>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</si>
  <si>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</si>
  <si>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</si>
  <si>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</si>
  <si>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</si>
  <si>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</si>
  <si>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</si>
  <si>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</si>
  <si>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</si>
  <si>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</si>
  <si>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</si>
  <si>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</si>
  <si>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</si>
  <si>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</si>
  <si>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</si>
  <si>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</si>
  <si>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</si>
  <si>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</si>
  <si>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</si>
  <si>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</si>
  <si>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</si>
  <si>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</si>
  <si>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</si>
  <si>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</si>
  <si>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</si>
  <si>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</si>
  <si>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</si>
  <si>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</si>
  <si>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</si>
  <si>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</si>
  <si>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</si>
  <si>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</si>
  <si>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</si>
  <si>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</si>
  <si>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</si>
  <si>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</si>
  <si>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</si>
  <si>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</si>
  <si>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</si>
  <si>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</si>
  <si>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</si>
  <si>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</si>
  <si>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</si>
  <si>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</si>
  <si>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</si>
  <si>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</si>
  <si>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</si>
  <si>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</si>
  <si>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</si>
  <si>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</si>
  <si>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</si>
  <si>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</si>
  <si>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</si>
  <si>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</si>
  <si>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</si>
  <si>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</si>
  <si>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</si>
  <si>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</si>
  <si>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</si>
  <si>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</si>
  <si>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</si>
  <si>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</si>
  <si>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</si>
  <si>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</si>
  <si>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</si>
  <si>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</si>
  <si>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</si>
  <si>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</si>
  <si>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</si>
  <si>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</si>
  <si>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</si>
  <si>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</si>
  <si>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</si>
  <si>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</si>
  <si>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</si>
  <si>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</si>
  <si>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</si>
  <si>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</si>
  <si>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</si>
  <si>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</si>
  <si>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</si>
  <si>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</si>
  <si>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</si>
  <si>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</si>
  <si>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</si>
  <si>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</si>
  <si>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</si>
  <si>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</si>
  <si>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</si>
  <si>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</si>
  <si>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</si>
  <si>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</si>
  <si>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</si>
  <si>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</si>
  <si>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</si>
  <si>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</si>
  <si>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</si>
  <si>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</si>
  <si>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</si>
  <si>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</si>
  <si>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</si>
  <si>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</si>
  <si>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</si>
  <si>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</si>
  <si>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</si>
  <si>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</si>
  <si>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</si>
  <si>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</si>
  <si>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</si>
  <si>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</si>
  <si>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</si>
  <si>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</si>
  <si>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</si>
  <si>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</si>
  <si>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</si>
  <si>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</si>
  <si>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</si>
  <si>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</si>
  <si>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</si>
  <si>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</si>
  <si>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</si>
  <si>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</si>
  <si>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</si>
  <si>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</si>
  <si>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</si>
  <si>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</si>
  <si>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</si>
  <si>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</si>
  <si>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</si>
  <si>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</si>
  <si>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</si>
  <si>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</si>
  <si>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</si>
  <si>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</si>
  <si>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</si>
  <si>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</si>
  <si>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</si>
  <si>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</si>
  <si>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</si>
  <si>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</si>
  <si>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</si>
  <si>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</si>
  <si>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</si>
  <si>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</si>
  <si>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</si>
  <si>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</si>
  <si>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</si>
  <si>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</si>
  <si>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</si>
  <si>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</si>
  <si>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</si>
  <si>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</si>
  <si>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</si>
  <si>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</si>
  <si>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</si>
  <si>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</si>
  <si>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</si>
  <si>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</si>
  <si>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</si>
  <si>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</si>
  <si>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</si>
  <si>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</si>
  <si>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</si>
  <si>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</si>
  <si>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</si>
  <si>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</si>
  <si>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</si>
  <si>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</si>
  <si>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</si>
  <si>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</si>
  <si>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</si>
  <si>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</si>
  <si>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</si>
  <si>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</si>
  <si>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</si>
  <si>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</si>
  <si>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</si>
  <si>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</si>
  <si>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</si>
  <si>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</si>
  <si>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</si>
  <si>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</si>
  <si>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</si>
  <si>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</si>
  <si>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</si>
  <si>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</si>
  <si>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</si>
  <si>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</si>
  <si>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</si>
  <si>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</si>
  <si>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</si>
  <si>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</si>
  <si>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</si>
  <si>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</si>
  <si>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</si>
  <si>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</si>
  <si>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</si>
  <si>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</si>
  <si>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</si>
  <si>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</si>
  <si>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</si>
  <si>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</si>
  <si>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</si>
  <si>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</si>
  <si>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</si>
  <si>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</si>
  <si>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</si>
  <si>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</si>
  <si>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</si>
  <si>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</si>
  <si>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</si>
  <si>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</si>
  <si>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</si>
  <si>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</si>
  <si>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</si>
  <si>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</si>
  <si>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</si>
  <si>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</si>
  <si>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</si>
  <si>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</si>
  <si>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</si>
  <si>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</si>
  <si>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</si>
  <si>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</si>
  <si>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</si>
  <si>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</si>
  <si>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</si>
  <si>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</si>
  <si>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</si>
  <si>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</si>
  <si>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</si>
  <si>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</si>
  <si>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</si>
  <si>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</si>
  <si>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</si>
  <si>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</si>
  <si>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</si>
  <si>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</si>
  <si>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</si>
  <si>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</si>
  <si>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</si>
  <si>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</si>
  <si>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</si>
  <si>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</si>
  <si>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</si>
  <si>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</si>
  <si>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</si>
  <si>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</si>
  <si>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</si>
  <si>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</si>
  <si>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</si>
  <si>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</si>
  <si>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</si>
  <si>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</si>
  <si>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</si>
  <si>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</si>
  <si>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</si>
  <si>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</si>
  <si>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</si>
  <si>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</si>
  <si>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</si>
  <si>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</si>
  <si>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</si>
  <si>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</si>
  <si>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</si>
  <si>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</si>
  <si>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</si>
  <si>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</si>
  <si>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</si>
  <si>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</si>
  <si>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</si>
  <si>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</si>
  <si>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</si>
  <si>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</si>
  <si>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</si>
  <si>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</si>
  <si>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</si>
  <si>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</si>
  <si>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</si>
  <si>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</si>
  <si>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</si>
  <si>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</si>
  <si>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</si>
  <si>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</si>
  <si>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</si>
  <si>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</si>
  <si>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</si>
  <si>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</si>
  <si>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</si>
  <si>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</si>
  <si>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</si>
  <si>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</si>
  <si>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</si>
  <si>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</si>
  <si>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</si>
  <si>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</si>
  <si>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</si>
  <si>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</si>
  <si>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</si>
  <si>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</si>
  <si>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</si>
  <si>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</si>
  <si>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</si>
  <si>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</si>
  <si>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</si>
  <si>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</si>
  <si>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</si>
  <si>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</si>
  <si>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</si>
  <si>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</si>
  <si>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</si>
  <si>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</si>
  <si>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</si>
  <si>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</si>
  <si>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</si>
  <si>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</si>
  <si>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</si>
  <si>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</si>
  <si>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</si>
  <si>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</si>
  <si>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</si>
  <si>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</si>
  <si>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</si>
  <si>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</si>
  <si>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</si>
  <si>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</si>
  <si>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</si>
  <si>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</si>
  <si>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</si>
  <si>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</si>
  <si>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</si>
  <si>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</si>
  <si>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</si>
  <si>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</si>
  <si>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</si>
  <si>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</si>
  <si>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</si>
  <si>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</si>
  <si>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</si>
  <si>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</si>
  <si>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</si>
  <si>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</si>
  <si>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</si>
  <si>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</si>
  <si>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</si>
  <si>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</si>
  <si>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</si>
  <si>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</si>
  <si>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</si>
  <si>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</si>
  <si>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</si>
  <si>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</si>
  <si>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</si>
  <si>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</si>
  <si>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</si>
  <si>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</si>
  <si>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</si>
  <si>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</si>
  <si>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</si>
  <si>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</si>
  <si>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</si>
  <si>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</si>
  <si>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</si>
  <si>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</si>
  <si>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</si>
  <si>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</si>
  <si>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</si>
  <si>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</si>
  <si>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</si>
  <si>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</si>
  <si>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</si>
  <si>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</si>
  <si>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</si>
  <si>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</si>
  <si>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</si>
  <si>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</si>
  <si>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</si>
  <si>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</si>
  <si>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</si>
  <si>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</si>
  <si>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</si>
  <si>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</si>
  <si>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</si>
  <si>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</si>
  <si>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</si>
  <si>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</si>
  <si>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</si>
  <si>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</si>
  <si>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</si>
  <si>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</si>
  <si>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</si>
  <si>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</si>
  <si>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</si>
  <si>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</si>
  <si>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</si>
  <si>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</si>
  <si>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</si>
  <si>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</si>
  <si>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</si>
  <si>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</si>
  <si>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</si>
  <si>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</si>
  <si>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</si>
  <si>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</si>
  <si>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</si>
  <si>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</si>
  <si>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</si>
  <si>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</si>
  <si>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</si>
  <si>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</si>
  <si>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</si>
  <si>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</si>
  <si>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</si>
  <si>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</si>
  <si>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</si>
  <si>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</si>
  <si>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</si>
  <si>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</si>
  <si>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</si>
  <si>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</si>
  <si>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</si>
  <si>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</si>
  <si>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</si>
  <si>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</si>
  <si>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</si>
  <si>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</si>
  <si>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</si>
  <si>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</si>
  <si>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</si>
  <si>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</si>
  <si>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</si>
  <si>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</si>
  <si>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</si>
  <si>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</si>
  <si>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</si>
  <si>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</si>
  <si>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</si>
  <si>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</si>
  <si>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</si>
  <si>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</si>
  <si>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</si>
  <si>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</si>
  <si>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</si>
  <si>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</si>
  <si>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</si>
  <si>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</si>
  <si>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</si>
  <si>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</si>
  <si>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</si>
  <si>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</si>
  <si>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</si>
  <si>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</si>
  <si>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</si>
  <si>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</si>
  <si>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</si>
  <si>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</si>
  <si>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</si>
  <si>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</si>
  <si>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</si>
  <si>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</si>
  <si>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</si>
  <si>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</si>
  <si>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</si>
  <si>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</si>
  <si>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</si>
  <si>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</si>
  <si>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</si>
  <si>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</si>
  <si>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</si>
  <si>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</si>
  <si>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</si>
  <si>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</si>
  <si>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</si>
  <si>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</si>
  <si>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</si>
  <si>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</si>
  <si>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</si>
  <si>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</si>
  <si>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</si>
  <si>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</si>
  <si>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</si>
  <si>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</si>
  <si>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</si>
  <si>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</si>
  <si>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</si>
  <si>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</si>
  <si>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</si>
  <si>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</si>
  <si>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</si>
  <si>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</si>
  <si>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</si>
  <si>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</si>
  <si>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</si>
  <si>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</si>
  <si>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</si>
  <si>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</si>
  <si>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</si>
  <si>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</si>
  <si>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</si>
  <si>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</si>
  <si>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</si>
  <si>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</si>
  <si>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</si>
  <si>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</si>
  <si>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</si>
  <si>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</si>
  <si>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</si>
  <si>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</si>
  <si>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</si>
  <si>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</si>
  <si>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</si>
  <si>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</si>
  <si>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</si>
  <si>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</si>
  <si>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</si>
  <si>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</si>
  <si>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</si>
  <si>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</si>
  <si>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</si>
  <si>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</si>
  <si>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</si>
  <si>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</si>
  <si>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</si>
  <si>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</si>
  <si>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</si>
  <si>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</si>
  <si>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</si>
  <si>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</si>
  <si>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</si>
  <si>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</si>
  <si>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</si>
  <si>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</si>
  <si>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</si>
  <si>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</si>
  <si>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</si>
  <si>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</si>
  <si>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</si>
  <si>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</si>
  <si>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</si>
  <si>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</si>
  <si>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</si>
  <si>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</si>
  <si>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</si>
  <si>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</si>
  <si>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</si>
  <si>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</si>
  <si>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</si>
  <si>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</si>
  <si>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</si>
  <si>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</si>
  <si>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</si>
  <si>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</si>
  <si>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</si>
  <si>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</si>
  <si>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</si>
  <si>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</si>
  <si>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</si>
  <si>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</si>
  <si>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</si>
  <si>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</si>
  <si>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</si>
  <si>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</si>
  <si>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</si>
  <si>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</si>
  <si>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</si>
  <si>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</si>
  <si>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</si>
  <si>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</si>
  <si>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</si>
  <si>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</si>
  <si>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</si>
  <si>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</si>
  <si>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</si>
  <si>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</si>
  <si>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</si>
  <si>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</si>
  <si>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</si>
  <si>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</si>
  <si>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</si>
  <si>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</si>
  <si>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</si>
  <si>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</si>
  <si>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</si>
  <si>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</si>
  <si>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</si>
  <si>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</si>
  <si>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</si>
  <si>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</si>
  <si>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</si>
  <si>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</si>
  <si>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</si>
  <si>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</si>
  <si>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</si>
  <si>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</si>
  <si>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</si>
  <si>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</si>
  <si>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</si>
  <si>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</si>
  <si>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</si>
  <si>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</si>
  <si>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</si>
  <si>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</si>
  <si>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</si>
  <si>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</si>
  <si>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</si>
  <si>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</si>
  <si>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</si>
  <si>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</si>
  <si>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</si>
  <si>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</si>
  <si>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</si>
  <si>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</si>
  <si>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</si>
  <si>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</si>
  <si>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</si>
  <si>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</si>
  <si>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</si>
  <si>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</si>
  <si>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</si>
  <si>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</si>
  <si>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</si>
  <si>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</si>
  <si>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</si>
  <si>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</si>
  <si>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</si>
  <si>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</si>
  <si>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</si>
  <si>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</si>
  <si>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</si>
  <si>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</si>
  <si>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</si>
  <si>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</si>
  <si>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</si>
  <si>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</si>
  <si>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</si>
  <si>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</si>
  <si>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</si>
  <si>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</si>
  <si>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</si>
  <si>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</si>
  <si>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</si>
  <si>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</si>
  <si>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</si>
  <si>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</si>
  <si>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</si>
  <si>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</si>
  <si>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</si>
  <si>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</si>
  <si>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</si>
  <si>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</si>
  <si>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</si>
  <si>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</si>
  <si>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</si>
  <si>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</si>
  <si>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</si>
  <si>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</si>
  <si>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</si>
  <si>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</si>
  <si>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</si>
  <si>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</si>
  <si>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</si>
  <si>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</si>
  <si>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</si>
  <si>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</si>
  <si>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</si>
  <si>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</si>
  <si>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</si>
  <si>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</si>
  <si>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</si>
  <si>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</si>
  <si>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</si>
  <si>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</si>
  <si>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</si>
  <si>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</si>
  <si>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</si>
  <si>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</si>
  <si>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</si>
  <si>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</si>
  <si>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</si>
  <si>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</si>
  <si>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</si>
  <si>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</si>
  <si>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</si>
  <si>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</si>
  <si>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</si>
  <si>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</si>
  <si>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</si>
  <si>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</si>
  <si>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</si>
  <si>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</si>
  <si>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</si>
  <si>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</si>
  <si>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</si>
  <si>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</si>
  <si>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</si>
  <si>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</si>
  <si>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</si>
  <si>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</si>
  <si>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</si>
  <si>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</si>
  <si>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</si>
  <si>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</si>
  <si>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</si>
  <si>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</si>
  <si>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</si>
  <si>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</si>
  <si>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</si>
  <si>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</si>
  <si>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</si>
  <si>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</si>
  <si>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</si>
  <si>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</si>
  <si>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</si>
  <si>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</si>
  <si>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</si>
  <si>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</si>
  <si>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</si>
  <si>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</si>
  <si>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</si>
  <si>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</si>
  <si>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</si>
  <si>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</si>
  <si>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</si>
  <si>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</si>
  <si>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</si>
  <si>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</si>
  <si>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</si>
  <si>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</si>
  <si>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</si>
  <si>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</si>
  <si>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</si>
  <si>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</si>
  <si>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</si>
  <si>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</si>
  <si>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</si>
  <si>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</si>
  <si>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</si>
  <si>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</si>
  <si>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</si>
  <si>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</si>
  <si>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</si>
  <si>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</si>
  <si>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</si>
  <si>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</si>
  <si>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</si>
  <si>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</si>
  <si>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</si>
  <si>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</si>
  <si>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</si>
  <si>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</si>
  <si>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</si>
  <si>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</si>
  <si>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</si>
  <si>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</si>
  <si>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</si>
  <si>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</si>
  <si>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</si>
  <si>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</si>
  <si>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</si>
  <si>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</si>
  <si>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</si>
  <si>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</si>
  <si>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</si>
  <si>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</si>
  <si>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</si>
  <si>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</si>
  <si>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</si>
  <si>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</si>
  <si>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</si>
  <si>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</si>
  <si>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</si>
  <si>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</si>
  <si>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</si>
  <si>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</si>
  <si>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</si>
  <si>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</si>
  <si>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</si>
  <si>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</si>
  <si>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</si>
  <si>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</si>
  <si>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</si>
  <si>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</si>
  <si>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</si>
  <si>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</si>
  <si>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</si>
  <si>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</si>
  <si>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</si>
  <si>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</si>
  <si>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</si>
  <si>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</si>
  <si>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</si>
  <si>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</si>
  <si>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</si>
  <si>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</si>
  <si>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</si>
  <si>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</si>
  <si>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</si>
  <si>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</si>
  <si>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</si>
  <si>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</si>
  <si>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</si>
  <si>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</si>
  <si>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</si>
  <si>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</si>
  <si>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</si>
  <si>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</si>
  <si>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</si>
  <si>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</si>
  <si>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</si>
  <si>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</si>
  <si>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</si>
  <si>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</si>
  <si>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</si>
  <si>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</si>
  <si>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</si>
  <si>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</si>
  <si>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</si>
  <si>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</si>
  <si>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</si>
  <si>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</si>
  <si>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</si>
  <si>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</si>
  <si>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</si>
  <si>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</si>
  <si>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</si>
  <si>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</si>
  <si>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</si>
  <si>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</si>
  <si>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</si>
  <si>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</si>
  <si>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</si>
  <si>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</si>
  <si>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</si>
  <si>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</si>
  <si>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</si>
  <si>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</si>
  <si>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</si>
  <si>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</si>
  <si>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</si>
  <si>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</si>
  <si>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</si>
  <si>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</si>
  <si>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</si>
  <si>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</si>
  <si>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</si>
  <si>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</si>
  <si>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</si>
  <si>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</si>
  <si>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</si>
  <si>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</si>
  <si>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</si>
  <si>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</si>
  <si>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</si>
  <si>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</si>
  <si>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</si>
  <si>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</si>
  <si>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</si>
  <si>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</si>
  <si>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</si>
  <si>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</si>
  <si>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</si>
  <si>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</si>
  <si>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</si>
  <si>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</si>
  <si>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</si>
  <si>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</si>
  <si>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</si>
  <si>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</si>
  <si>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</si>
  <si>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</si>
  <si>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</si>
  <si>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</si>
  <si>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</si>
  <si>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</si>
  <si>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</si>
  <si>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</si>
  <si>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</si>
  <si>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</si>
  <si>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</si>
  <si>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</si>
  <si>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</si>
  <si>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</si>
  <si>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</si>
  <si>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</si>
  <si>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</si>
  <si>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</si>
  <si>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</si>
  <si>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</si>
  <si>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</si>
  <si>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</si>
  <si>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</si>
  <si>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</si>
  <si>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</si>
  <si>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</si>
  <si>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</si>
  <si>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</si>
  <si>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</si>
  <si>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</si>
  <si>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</si>
  <si>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</si>
  <si>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</si>
  <si>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</si>
  <si>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</si>
  <si>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</si>
  <si>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</si>
  <si>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</si>
  <si>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</si>
  <si>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</si>
  <si>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</si>
  <si>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</si>
  <si>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</si>
  <si>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</si>
  <si>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</si>
  <si>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</si>
  <si>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</si>
  <si>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</si>
  <si>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</si>
  <si>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</si>
  <si>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</si>
  <si>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</si>
  <si>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</si>
  <si>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</si>
  <si>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</si>
  <si>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</si>
  <si>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</si>
  <si>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</si>
  <si>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</si>
  <si>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</si>
  <si>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</si>
  <si>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</si>
  <si>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</si>
  <si>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</si>
  <si>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</si>
  <si>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</si>
  <si>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</si>
  <si>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</si>
  <si>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</si>
  <si>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</si>
  <si>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</si>
  <si>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</si>
  <si>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</si>
  <si>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</si>
  <si>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</si>
  <si>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</si>
  <si>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</si>
  <si>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</si>
  <si>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</si>
  <si>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</si>
  <si>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</si>
  <si>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</si>
  <si>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</si>
  <si>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</si>
  <si>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</si>
  <si>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</si>
  <si>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</si>
  <si>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</si>
  <si>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</si>
  <si>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</si>
  <si>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</si>
  <si>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</si>
  <si>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</si>
  <si>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</si>
  <si>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</si>
  <si>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</si>
  <si>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</si>
  <si>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</si>
  <si>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</si>
  <si>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</si>
  <si>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</si>
  <si>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</si>
  <si>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</si>
  <si>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</si>
  <si>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</si>
  <si>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</si>
  <si>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</si>
  <si>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</si>
  <si>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</si>
  <si>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</si>
  <si>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</si>
  <si>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</si>
  <si>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</si>
  <si>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</si>
  <si>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</si>
  <si>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</si>
  <si>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</si>
  <si>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</si>
  <si>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</si>
  <si>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</si>
  <si>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</si>
  <si>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</si>
  <si>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</si>
  <si>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</si>
  <si>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</si>
  <si>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</si>
  <si>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</si>
  <si>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</si>
  <si>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</si>
  <si>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</si>
  <si>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</si>
  <si>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</si>
  <si>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</si>
  <si>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</si>
  <si>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</si>
  <si>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</si>
  <si>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</si>
  <si>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</si>
  <si>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</si>
  <si>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</si>
  <si>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</si>
  <si>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</si>
  <si>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</si>
  <si>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</si>
  <si>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</si>
  <si>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</si>
  <si>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</si>
  <si>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</si>
  <si>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</si>
  <si>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</si>
  <si>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</si>
  <si>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</si>
  <si>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</si>
  <si>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</si>
  <si>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</si>
  <si>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</si>
  <si>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</si>
  <si>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</si>
  <si>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</si>
  <si>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</si>
  <si>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</si>
  <si>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</si>
  <si>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</si>
  <si>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</si>
  <si>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</si>
  <si>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</si>
  <si>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</si>
  <si>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</si>
  <si>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</si>
  <si>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</si>
  <si>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</si>
  <si>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</si>
  <si>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</si>
  <si>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</si>
  <si>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</si>
  <si>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</si>
  <si>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</si>
  <si>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</si>
  <si>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</si>
  <si>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</si>
  <si>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</si>
  <si>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</si>
  <si>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</si>
  <si>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</si>
  <si>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</si>
  <si>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</si>
  <si>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</si>
  <si>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</si>
  <si>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</si>
  <si>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</si>
  <si>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</si>
  <si>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</si>
  <si>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</si>
  <si>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</si>
  <si>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</si>
  <si>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</si>
  <si>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</si>
  <si>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</si>
  <si>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</si>
  <si>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</si>
  <si>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</si>
  <si>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</si>
  <si>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</si>
  <si>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</si>
  <si>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</si>
  <si>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</si>
  <si>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</si>
  <si>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</si>
  <si>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</si>
  <si>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</si>
  <si>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</si>
  <si>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</si>
  <si>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</si>
  <si>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</si>
  <si>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</si>
  <si>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</si>
  <si>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</si>
  <si>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</si>
  <si>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</si>
  <si>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</si>
  <si>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</si>
  <si>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</si>
  <si>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</si>
  <si>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</si>
  <si>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</si>
  <si>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</si>
  <si>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</si>
  <si>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</si>
  <si>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</si>
  <si>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</si>
  <si>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</si>
  <si>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</si>
  <si>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</si>
  <si>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</si>
  <si>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</si>
  <si>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</si>
  <si>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</si>
  <si>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</si>
  <si>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</si>
  <si>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</si>
  <si>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</si>
  <si>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</si>
  <si>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</si>
  <si>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</si>
  <si>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</si>
  <si>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</si>
  <si>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</si>
  <si>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</si>
  <si>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</si>
  <si>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</si>
  <si>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</si>
  <si>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</si>
  <si>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</si>
  <si>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</si>
  <si>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</si>
  <si>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</si>
  <si>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</si>
  <si>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</si>
  <si>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</si>
  <si>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</si>
  <si>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</si>
  <si>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</si>
  <si>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</si>
  <si>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</si>
  <si>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</si>
  <si>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</si>
  <si>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</si>
  <si>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</si>
  <si>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</si>
  <si>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</si>
  <si>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</si>
  <si>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</si>
  <si>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</si>
  <si>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</si>
  <si>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</si>
  <si>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</si>
  <si>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</si>
  <si>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</si>
  <si>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</si>
  <si>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</si>
  <si>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</si>
  <si>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</si>
  <si>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</si>
  <si>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</si>
  <si>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</si>
  <si>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</si>
  <si>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</si>
  <si>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</si>
  <si>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</si>
  <si>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</si>
  <si>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</si>
  <si>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</si>
  <si>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</si>
  <si>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</si>
  <si>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</si>
  <si>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</si>
  <si>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</si>
  <si>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</si>
  <si>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</si>
  <si>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</si>
  <si>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</si>
  <si>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</si>
  <si>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Бисер Петков</t>
  </si>
  <si>
    <t>НАЦИОНАЛЕН ОСИГУРИТЕЛЕН ИНСТИТУТ</t>
  </si>
  <si>
    <t>926-13-30</t>
  </si>
  <si>
    <t>Людмила Захариева</t>
  </si>
  <si>
    <t>Lyudmila.Lyubomirova@nssi.bg</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</si>
</sst>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90"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1"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1" fillId="42" borderId="45" xfId="45" applyNumberFormat="1" applyFont="1" applyFill="1" applyBorder="1" applyAlignment="1" applyProtection="1" quotePrefix="1">
      <alignment horizontal="righ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5"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9"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5" fillId="44" borderId="0" xfId="0" applyNumberFormat="1" applyFont="1" applyFill="1" applyBorder="1" applyAlignment="1" applyProtection="1">
      <alignment/>
      <protection/>
    </xf>
    <xf numFmtId="0" fontId="116"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9" fillId="62" borderId="0" xfId="35" applyFont="1" applyFill="1" applyAlignment="1">
      <alignment horizontal="left" vertical="center"/>
      <protection/>
    </xf>
    <xf numFmtId="0" fontId="109"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9" fillId="44" borderId="0" xfId="50" applyNumberFormat="1" applyFont="1" applyFill="1" applyBorder="1" applyAlignment="1" applyProtection="1">
      <alignment/>
      <protection/>
    </xf>
    <xf numFmtId="38" fontId="109"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3"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4" fillId="44" borderId="32" xfId="49" applyFont="1" applyFill="1" applyBorder="1" applyProtection="1">
      <alignment/>
      <protection/>
    </xf>
    <xf numFmtId="0" fontId="124" fillId="44" borderId="72" xfId="49" applyFont="1" applyFill="1" applyBorder="1" applyProtection="1">
      <alignment/>
      <protection/>
    </xf>
    <xf numFmtId="0" fontId="124" fillId="44" borderId="73" xfId="49" applyFont="1" applyFill="1" applyBorder="1" applyProtection="1">
      <alignment/>
      <protection/>
    </xf>
    <xf numFmtId="188" fontId="6" fillId="72" borderId="0" xfId="50" applyNumberFormat="1" applyFont="1" applyFill="1" applyAlignment="1" applyProtection="1">
      <alignment/>
      <protection/>
    </xf>
    <xf numFmtId="188" fontId="119" fillId="38" borderId="167" xfId="40" applyNumberFormat="1" applyFont="1" applyFill="1" applyBorder="1" applyAlignment="1" applyProtection="1">
      <alignment horizontal="center"/>
      <protection/>
    </xf>
    <xf numFmtId="188" fontId="89"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9"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4" fillId="44" borderId="36" xfId="49" applyFont="1" applyFill="1" applyBorder="1" applyProtection="1">
      <alignment/>
      <protection/>
    </xf>
    <xf numFmtId="0" fontId="124" fillId="44" borderId="162" xfId="49" applyFont="1" applyFill="1" applyBorder="1" applyProtection="1">
      <alignment/>
      <protection/>
    </xf>
    <xf numFmtId="0" fontId="124" fillId="44" borderId="163" xfId="49" applyFont="1" applyFill="1" applyBorder="1" applyProtection="1">
      <alignment/>
      <protection/>
    </xf>
    <xf numFmtId="188" fontId="119" fillId="38" borderId="171" xfId="40" applyNumberFormat="1" applyFont="1" applyFill="1" applyBorder="1" applyAlignment="1" applyProtection="1">
      <alignment horizontal="center"/>
      <protection/>
    </xf>
    <xf numFmtId="188" fontId="89" fillId="38" borderId="172" xfId="40" applyNumberFormat="1" applyFont="1" applyFill="1" applyBorder="1" applyAlignment="1" applyProtection="1">
      <alignment horizontal="center"/>
      <protection/>
    </xf>
    <xf numFmtId="188" fontId="89"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9"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5" fillId="56" borderId="183" xfId="40" applyNumberFormat="1" applyFont="1" applyFill="1" applyBorder="1" applyAlignment="1" applyProtection="1">
      <alignment/>
      <protection/>
    </xf>
    <xf numFmtId="200" fontId="115" fillId="56" borderId="180" xfId="40" applyNumberFormat="1" applyFont="1" applyFill="1" applyBorder="1" applyAlignment="1" applyProtection="1">
      <alignment/>
      <protection/>
    </xf>
    <xf numFmtId="200" fontId="115"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9" fillId="74" borderId="167" xfId="40" applyNumberFormat="1" applyFont="1" applyFill="1" applyBorder="1" applyAlignment="1" applyProtection="1">
      <alignment horizontal="center"/>
      <protection/>
    </xf>
    <xf numFmtId="188" fontId="89"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9" fillId="74" borderId="171" xfId="40" applyNumberFormat="1" applyFont="1" applyFill="1" applyBorder="1" applyAlignment="1" applyProtection="1">
      <alignment horizontal="center"/>
      <protection/>
    </xf>
    <xf numFmtId="188" fontId="89"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3" fillId="44" borderId="45" xfId="40" applyFont="1" applyFill="1" applyBorder="1" applyAlignment="1" applyProtection="1" quotePrefix="1">
      <alignment horizontal="left"/>
      <protection/>
    </xf>
    <xf numFmtId="0" fontId="93" fillId="44" borderId="59" xfId="40" applyFont="1" applyFill="1" applyBorder="1" applyAlignment="1" applyProtection="1" quotePrefix="1">
      <alignment horizontal="left"/>
      <protection/>
    </xf>
    <xf numFmtId="0" fontId="93"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6" fillId="44" borderId="137" xfId="40" applyNumberFormat="1" applyFont="1" applyFill="1" applyBorder="1" applyAlignment="1" applyProtection="1">
      <alignment horizontal="center"/>
      <protection/>
    </xf>
    <xf numFmtId="3" fontId="96" fillId="44" borderId="64" xfId="40" applyNumberFormat="1" applyFont="1" applyFill="1" applyBorder="1" applyAlignment="1" applyProtection="1">
      <alignment horizontal="center"/>
      <protection/>
    </xf>
    <xf numFmtId="3" fontId="96" fillId="44" borderId="116" xfId="40" applyNumberFormat="1" applyFont="1" applyFill="1" applyBorder="1" applyAlignment="1" applyProtection="1">
      <alignment horizontal="center"/>
      <protection/>
    </xf>
    <xf numFmtId="38" fontId="109" fillId="44" borderId="17" xfId="50" applyNumberFormat="1" applyFont="1" applyFill="1" applyBorder="1" applyAlignment="1" applyProtection="1">
      <alignment horizontal="left"/>
      <protection/>
    </xf>
    <xf numFmtId="38" fontId="109" fillId="44" borderId="0" xfId="50" applyNumberFormat="1" applyFont="1" applyFill="1" applyBorder="1" applyAlignment="1" applyProtection="1">
      <alignment horizontal="left"/>
      <protection/>
    </xf>
    <xf numFmtId="38" fontId="109"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5"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5"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5"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5"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5"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1"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108" fillId="44" borderId="176" xfId="50" applyNumberFormat="1" applyFont="1" applyFill="1" applyBorder="1" applyAlignment="1" applyProtection="1">
      <alignment horizontal="center"/>
      <protection/>
    </xf>
    <xf numFmtId="38" fontId="108" fillId="44" borderId="126" xfId="50" applyNumberFormat="1" applyFont="1" applyFill="1" applyBorder="1" applyAlignment="1" applyProtection="1">
      <alignment horizontal="center"/>
      <protection/>
    </xf>
    <xf numFmtId="38" fontId="108"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40" applyFont="1" applyFill="1" applyBorder="1" applyAlignment="1" applyProtection="1">
      <alignment horizontal="center" vertical="center" wrapText="1"/>
      <protection/>
    </xf>
    <xf numFmtId="0" fontId="93" fillId="44" borderId="59" xfId="40" applyFont="1" applyFill="1" applyBorder="1" applyAlignment="1" applyProtection="1">
      <alignment horizontal="center" vertical="center" wrapText="1"/>
      <protection/>
    </xf>
    <xf numFmtId="0" fontId="93" fillId="44" borderId="81" xfId="40" applyFont="1" applyFill="1" applyBorder="1" applyAlignment="1" applyProtection="1">
      <alignment horizontal="center" vertical="center" wrapText="1"/>
      <protection/>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9"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4"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10" fillId="47" borderId="16" xfId="35" applyFont="1" applyFill="1" applyBorder="1" applyAlignment="1" applyProtection="1">
      <alignment horizontal="center" vertical="center" wrapText="1"/>
      <protection/>
    </xf>
    <xf numFmtId="0" fontId="110"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9" fillId="49" borderId="59" xfId="35" applyFont="1" applyFill="1" applyBorder="1" applyAlignment="1" applyProtection="1">
      <alignment wrapText="1"/>
      <protection/>
    </xf>
    <xf numFmtId="0" fontId="330"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59" fillId="49" borderId="59" xfId="35" applyFont="1" applyFill="1" applyBorder="1" applyAlignment="1" applyProtection="1">
      <alignment vertical="center" wrapText="1"/>
      <protection/>
    </xf>
    <xf numFmtId="0" fontId="330" fillId="49" borderId="59" xfId="3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wrapText="1"/>
      <protection/>
    </xf>
    <xf numFmtId="0" fontId="330" fillId="49" borderId="59" xfId="35" applyFont="1" applyFill="1" applyBorder="1" applyAlignment="1" applyProtection="1">
      <alignment horizontal="lef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protection/>
    </xf>
    <xf numFmtId="0" fontId="91" fillId="42" borderId="59" xfId="45" applyFont="1" applyFill="1" applyBorder="1" applyAlignment="1" applyProtection="1" quotePrefix="1">
      <alignment horizontal="left" vertical="center"/>
      <protection/>
    </xf>
    <xf numFmtId="0" fontId="91"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91" fillId="42" borderId="77" xfId="45" applyFont="1" applyFill="1" applyBorder="1" applyAlignment="1" applyProtection="1" quotePrefix="1">
      <alignment horizontal="left" vertical="center"/>
      <protection/>
    </xf>
    <xf numFmtId="0" fontId="91" fillId="42" borderId="194" xfId="45" applyFont="1" applyFill="1" applyBorder="1" applyAlignment="1" applyProtection="1" quotePrefix="1">
      <alignment horizontal="left" vertical="center"/>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61"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1"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4" fillId="4" borderId="59" xfId="45" applyFont="1" applyFill="1" applyBorder="1" applyAlignment="1">
      <alignment horizontal="left" vertical="center"/>
      <protection/>
    </xf>
    <xf numFmtId="0" fontId="264" fillId="4" borderId="59" xfId="45" applyFont="1" applyFill="1" applyBorder="1" applyAlignment="1">
      <alignment horizontal="left" vertical="center" wrapText="1"/>
      <protection/>
    </xf>
    <xf numFmtId="0" fontId="332" fillId="4" borderId="59" xfId="35" applyFont="1" applyFill="1" applyBorder="1" applyAlignment="1">
      <alignment horizontal="left" vertical="center" wrapText="1"/>
      <protection/>
    </xf>
    <xf numFmtId="0" fontId="264" fillId="4" borderId="59" xfId="35" applyFont="1" applyFill="1" applyBorder="1" applyAlignment="1">
      <alignment vertical="center" wrapText="1"/>
      <protection/>
    </xf>
    <xf numFmtId="0" fontId="333" fillId="4" borderId="59" xfId="35" applyFont="1" applyFill="1" applyBorder="1" applyAlignment="1">
      <alignment vertical="center" wrapText="1"/>
      <protection/>
    </xf>
    <xf numFmtId="0" fontId="264" fillId="4" borderId="59" xfId="45" applyFont="1" applyFill="1" applyBorder="1" applyAlignment="1" quotePrefix="1">
      <alignment horizontal="left" vertical="center" wrapText="1"/>
      <protection/>
    </xf>
    <xf numFmtId="0" fontId="333"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2"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t="str">
        <f>+OTCHET!H601</f>
        <v>Lyudmila.Lyubomirova@nssi.bg</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42766</v>
      </c>
      <c r="M6" s="1586"/>
      <c r="N6" s="1779" t="s">
        <v>1531</v>
      </c>
      <c r="O6" s="1578"/>
      <c r="P6" s="1923">
        <f>OTCHET!F9</f>
        <v>42766</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42766</v>
      </c>
      <c r="H9" s="1586"/>
      <c r="I9" s="1612">
        <f>+L4</f>
        <v>2017</v>
      </c>
      <c r="J9" s="1732">
        <f>+L6</f>
        <v>42766</v>
      </c>
      <c r="K9" s="1733"/>
      <c r="L9" s="1731">
        <f>+L6</f>
        <v>42766</v>
      </c>
      <c r="M9" s="1733"/>
      <c r="N9" s="1734">
        <f>+L6</f>
        <v>42766</v>
      </c>
      <c r="O9" s="1613"/>
      <c r="P9" s="1752">
        <f>+L4</f>
        <v>2017</v>
      </c>
      <c r="Q9" s="1751">
        <f>OTCHET!F9</f>
        <v>42766</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1199756</v>
      </c>
      <c r="H13" s="1586"/>
      <c r="I13" s="1795">
        <f>+IF(OR($P$2=98,$P$2=42,$P$2=96,$P$2=97),$P13,0)</f>
        <v>0</v>
      </c>
      <c r="J13" s="1823">
        <f>+IF(OR($P$2=98,$P$2=42,$P$2=96,$P$2=97),$Q13,0)</f>
        <v>0</v>
      </c>
      <c r="K13" s="1796"/>
      <c r="L13" s="1823">
        <f>+IF($P$2=33,$Q13,0)</f>
        <v>0</v>
      </c>
      <c r="M13" s="1796"/>
      <c r="N13" s="1797">
        <f>+ROUND(+G13+J13+L13,0)</f>
        <v>1199756</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1199756</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0</v>
      </c>
      <c r="H15" s="1586"/>
      <c r="I15" s="1925">
        <f t="shared" si="2"/>
        <v>0</v>
      </c>
      <c r="J15" s="1924">
        <f t="shared" si="3"/>
        <v>0</v>
      </c>
      <c r="K15" s="1796"/>
      <c r="L15" s="1924">
        <f t="shared" si="4"/>
        <v>0</v>
      </c>
      <c r="M15" s="1796"/>
      <c r="N15" s="1798">
        <f t="shared" si="5"/>
        <v>0</v>
      </c>
      <c r="O15" s="1943"/>
      <c r="P15" s="1925">
        <f>+ROUND(+OTCHET!E110+OTCHET!E111,0)</f>
        <v>6000</v>
      </c>
      <c r="Q15" s="1924">
        <f>+ROUND(+OTCHET!F110+OTCHET!F111,0)</f>
        <v>0</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6477824</v>
      </c>
      <c r="H19" s="1586"/>
      <c r="I19" s="1925">
        <f t="shared" si="2"/>
        <v>0</v>
      </c>
      <c r="J19" s="1924">
        <f t="shared" si="3"/>
        <v>0</v>
      </c>
      <c r="K19" s="1796"/>
      <c r="L19" s="1924">
        <f t="shared" si="4"/>
        <v>0</v>
      </c>
      <c r="M19" s="1796"/>
      <c r="N19" s="1798">
        <f t="shared" si="5"/>
        <v>6477824</v>
      </c>
      <c r="O19" s="1943"/>
      <c r="P19" s="1925">
        <f>+ROUND(+SUM(OTCHET!E82:E89),0)</f>
        <v>13229000</v>
      </c>
      <c r="Q19" s="1924">
        <f>+ROUND(+SUM(OTCHET!F82:F89),0)</f>
        <v>6477824</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7677580</v>
      </c>
      <c r="H22" s="1586"/>
      <c r="I22" s="1801">
        <f>+ROUND(+SUM(I13:I21),0)</f>
        <v>0</v>
      </c>
      <c r="J22" s="1800">
        <f>+ROUND(+SUM(J13:J21),0)</f>
        <v>0</v>
      </c>
      <c r="K22" s="1796"/>
      <c r="L22" s="1800">
        <f>+ROUND(+SUM(L13:L21),0)</f>
        <v>0</v>
      </c>
      <c r="M22" s="1796"/>
      <c r="N22" s="1802">
        <f>+ROUND(+SUM(N13:N21),0)</f>
        <v>7677580</v>
      </c>
      <c r="O22" s="1943"/>
      <c r="P22" s="1801">
        <f>+ROUND(+SUM(P13:P21),0)</f>
        <v>54082900</v>
      </c>
      <c r="Q22" s="1800">
        <f>+ROUND(+SUM(Q13:Q21),0)</f>
        <v>7677580</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7677580</v>
      </c>
      <c r="H47" s="1586"/>
      <c r="I47" s="1825">
        <f>+ROUND(I22+I27+I34+I39+I45,0)</f>
        <v>0</v>
      </c>
      <c r="J47" s="1824">
        <f>+ROUND(J22+J27+J34+J39+J45,0)</f>
        <v>0</v>
      </c>
      <c r="K47" s="1796"/>
      <c r="L47" s="1824">
        <f>+ROUND(L22+L27+L34+L39+L45,0)</f>
        <v>0</v>
      </c>
      <c r="M47" s="1796"/>
      <c r="N47" s="1826">
        <f>+ROUND(N22+N27+N34+N39+N45,0)</f>
        <v>7677580</v>
      </c>
      <c r="O47" s="1945"/>
      <c r="P47" s="1825">
        <f>+ROUND(P22+P27+P34+P39+P45,0)</f>
        <v>54082900</v>
      </c>
      <c r="Q47" s="1824">
        <f>+ROUND(Q22+Q27+Q34+Q39+Q45,0)</f>
        <v>7677580</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7634</v>
      </c>
      <c r="H51" s="1586"/>
      <c r="I51" s="1832">
        <f>+IF(OR($P$2=98,$P$2=42,$P$2=96,$P$2=97),$P51,0)</f>
        <v>0</v>
      </c>
      <c r="J51" s="1831">
        <f>+IF(OR($P$2=98,$P$2=42,$P$2=96,$P$2=97),$Q51,0)</f>
        <v>0</v>
      </c>
      <c r="K51" s="1796"/>
      <c r="L51" s="1831">
        <f>+IF($P$2=33,$Q51,0)</f>
        <v>0</v>
      </c>
      <c r="M51" s="1796"/>
      <c r="N51" s="1799">
        <f>+ROUND(+G51+J51+L51,0)</f>
        <v>7634</v>
      </c>
      <c r="O51" s="1943"/>
      <c r="P51" s="1832">
        <f>+ROUND(+SUM(OTCHET!E216:E218),0)</f>
        <v>40300</v>
      </c>
      <c r="Q51" s="1831">
        <f>+ROUND(+SUM(OTCHET!F216:F218),0)</f>
        <v>7634</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7634</v>
      </c>
      <c r="H55" s="1586"/>
      <c r="I55" s="1828">
        <f>+ROUND(+SUM(I50:I54),0)</f>
        <v>0</v>
      </c>
      <c r="J55" s="1827">
        <f>+ROUND(+SUM(J50:J54),0)</f>
        <v>0</v>
      </c>
      <c r="K55" s="1796"/>
      <c r="L55" s="1827">
        <f>+ROUND(+SUM(L50:L54),0)</f>
        <v>0</v>
      </c>
      <c r="M55" s="1796"/>
      <c r="N55" s="1829">
        <f>+ROUND(+SUM(N50:N54),0)</f>
        <v>7634</v>
      </c>
      <c r="O55" s="1943"/>
      <c r="P55" s="1828">
        <f>+ROUND(+SUM(P50:P54),0)</f>
        <v>40300</v>
      </c>
      <c r="Q55" s="1827">
        <f>+ROUND(+SUM(Q50:Q54),0)</f>
        <v>7634</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2650377</v>
      </c>
      <c r="H68" s="1586"/>
      <c r="I68" s="1806">
        <f>+IF(OR($P$2=98,$P$2=42,$P$2=96,$P$2=97),$P68,0)</f>
        <v>0</v>
      </c>
      <c r="J68" s="1805">
        <f>+IF(OR($P$2=98,$P$2=42,$P$2=96,$P$2=97),$Q68,0)</f>
        <v>0</v>
      </c>
      <c r="K68" s="1796"/>
      <c r="L68" s="1805">
        <f>+IF($P$2=33,$Q68,0)</f>
        <v>0</v>
      </c>
      <c r="M68" s="1796"/>
      <c r="N68" s="1807">
        <f>+ROUND(+G68+J68+L68,0)</f>
        <v>2650377</v>
      </c>
      <c r="O68" s="1943"/>
      <c r="P68" s="1806">
        <f>+ROUND(+SUM(OTCHET!E255:E258)+IF(+OR(OTCHET!$F$12="5500",OTCHET!$F$12="5600"),+OTCHET!E297,0),0)</f>
        <v>30093100</v>
      </c>
      <c r="Q68" s="1805">
        <f>+ROUND(+SUM(OTCHET!F255:F258)+IF(+OR(OTCHET!$F$12="5500",OTCHET!$F$12="5600"),+OTCHET!F297,0),0)</f>
        <v>2650377</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2650377</v>
      </c>
      <c r="H70" s="1586"/>
      <c r="I70" s="1828">
        <f>+ROUND(+SUM(I68:I69),0)</f>
        <v>0</v>
      </c>
      <c r="J70" s="1827">
        <f>+ROUND(+SUM(J68:J69),0)</f>
        <v>0</v>
      </c>
      <c r="K70" s="1796"/>
      <c r="L70" s="1827">
        <f>+ROUND(+SUM(L68:L69),0)</f>
        <v>0</v>
      </c>
      <c r="M70" s="1796"/>
      <c r="N70" s="1829">
        <f>+ROUND(+SUM(N68:N69),0)</f>
        <v>2650377</v>
      </c>
      <c r="O70" s="1943"/>
      <c r="P70" s="1828">
        <f>+ROUND(+SUM(P68:P69),0)</f>
        <v>30093100</v>
      </c>
      <c r="Q70" s="1827">
        <f>+ROUND(+SUM(Q68:Q69),0)</f>
        <v>2650377</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2658011</v>
      </c>
      <c r="H76" s="1586"/>
      <c r="I76" s="1835">
        <f>+ROUND(I55+I62+I66+I70+I74,0)</f>
        <v>0</v>
      </c>
      <c r="J76" s="1834">
        <f>+ROUND(J55+J62+J66+J70+J74,0)</f>
        <v>0</v>
      </c>
      <c r="K76" s="1796"/>
      <c r="L76" s="1834">
        <f>+ROUND(L55+L62+L66+L70+L74,0)</f>
        <v>0</v>
      </c>
      <c r="M76" s="1796"/>
      <c r="N76" s="1836">
        <f>+ROUND(N55+N62+N66+N70+N74,0)</f>
        <v>2658011</v>
      </c>
      <c r="O76" s="1943"/>
      <c r="P76" s="1835">
        <f>+ROUND(P55+P62+P66+P70+P74,0)</f>
        <v>30133400</v>
      </c>
      <c r="Q76" s="1833">
        <f>+ROUND(Q55+Q62+Q66+Q70+Q74,0)</f>
        <v>2658011</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5019569</v>
      </c>
      <c r="H82" s="1586"/>
      <c r="I82" s="1840">
        <f>+ROUND(I47,0)-ROUND(I76,0)+ROUND(I80,0)</f>
        <v>0</v>
      </c>
      <c r="J82" s="1841">
        <f>+ROUND(J47,0)-ROUND(J76,0)+ROUND(J80,0)</f>
        <v>0</v>
      </c>
      <c r="K82" s="1796"/>
      <c r="L82" s="1841">
        <f>+ROUND(L47,0)-ROUND(L76,0)+ROUND(L80,0)</f>
        <v>0</v>
      </c>
      <c r="M82" s="1796"/>
      <c r="N82" s="1842">
        <f>+ROUND(N47,0)-ROUND(N76,0)+ROUND(N80,0)</f>
        <v>5019569</v>
      </c>
      <c r="O82" s="1843"/>
      <c r="P82" s="1840">
        <f>+ROUND(P47,0)-ROUND(P76,0)+ROUND(P80,0)</f>
        <v>23949500</v>
      </c>
      <c r="Q82" s="1841">
        <f>+ROUND(Q47,0)-ROUND(Q76,0)+ROUND(Q80,0)</f>
        <v>5019569</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-5019569</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-5019569</v>
      </c>
      <c r="O83" s="1843"/>
      <c r="P83" s="1844">
        <f>+ROUND(P100,0)+ROUND(P119,0)+ROUND(P125,0)-ROUND(P130,0)</f>
        <v>-23949500</v>
      </c>
      <c r="Q83" s="1845">
        <f>+ROUND(Q100,0)+ROUND(Q119,0)+ROUND(Q125,0)-ROUND(Q130,0)</f>
        <v>-5019569</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25047578</v>
      </c>
      <c r="H96" s="1586"/>
      <c r="I96" s="1795">
        <f>+IF(OR($P$2=98,$P$2=42,$P$2=96,$P$2=97),$P96,0)</f>
        <v>0</v>
      </c>
      <c r="J96" s="1823">
        <f>+IF(OR($P$2=98,$P$2=42,$P$2=96,$P$2=97),$Q96,0)</f>
        <v>0</v>
      </c>
      <c r="K96" s="1796"/>
      <c r="L96" s="1823">
        <f>+IF($P$2=33,$Q96,0)</f>
        <v>0</v>
      </c>
      <c r="M96" s="1796"/>
      <c r="N96" s="1797">
        <f>+ROUND(+G96+J96+L96,0)</f>
        <v>25047578</v>
      </c>
      <c r="O96" s="1943"/>
      <c r="P96" s="1795">
        <f>+ROUND(OTCHET!E532+OTCHET!E537,0)</f>
        <v>-26513100</v>
      </c>
      <c r="Q96" s="1823">
        <f>+ROUND(OTCHET!F532+OTCHET!F537,0)</f>
        <v>25047578</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25047578</v>
      </c>
      <c r="H98" s="1586"/>
      <c r="I98" s="1801">
        <f>+ROUND(+SUM(I96:I97),0)</f>
        <v>0</v>
      </c>
      <c r="J98" s="1800">
        <f>+ROUND(+SUM(J96:J97),0)</f>
        <v>0</v>
      </c>
      <c r="K98" s="1796"/>
      <c r="L98" s="1800">
        <f>+ROUND(+SUM(L96:L97),0)</f>
        <v>0</v>
      </c>
      <c r="M98" s="1796"/>
      <c r="N98" s="1802">
        <f>+ROUND(+SUM(N96:N97),0)</f>
        <v>25047578</v>
      </c>
      <c r="O98" s="1943"/>
      <c r="P98" s="1801">
        <f>+ROUND(+SUM(P96:P97),0)</f>
        <v>-26513100</v>
      </c>
      <c r="Q98" s="1800">
        <f>+ROUND(+SUM(Q96:Q97),0)</f>
        <v>25047578</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25047578</v>
      </c>
      <c r="H100" s="1586"/>
      <c r="I100" s="1825">
        <f>+ROUND(I88+I94+I98,0)</f>
        <v>0</v>
      </c>
      <c r="J100" s="1824">
        <f>+ROUND(J88+J94+J98,0)</f>
        <v>0</v>
      </c>
      <c r="K100" s="1796"/>
      <c r="L100" s="1824">
        <f>+ROUND(L88+L94+L98,0)</f>
        <v>0</v>
      </c>
      <c r="M100" s="1796"/>
      <c r="N100" s="1826">
        <f>+ROUND(N88+N94+N98,0)</f>
        <v>25047578</v>
      </c>
      <c r="O100" s="1945"/>
      <c r="P100" s="1825">
        <f>+ROUND(P88+P94+P98,0)</f>
        <v>-26513100</v>
      </c>
      <c r="Q100" s="1824">
        <f>+ROUND(Q88+Q94+Q98,0)</f>
        <v>25047578</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2589271</v>
      </c>
      <c r="H122" s="1586"/>
      <c r="I122" s="1832">
        <f>+IF(OR($P$2=98,$P$2=42,$P$2=96,$P$2=97),$P122,0)</f>
        <v>0</v>
      </c>
      <c r="J122" s="1831">
        <f>+IF(OR($P$2=98,$P$2=42,$P$2=96,$P$2=97),$Q122,0)</f>
        <v>0</v>
      </c>
      <c r="K122" s="1796"/>
      <c r="L122" s="1831">
        <f>+IF($P$2=33,$Q122,0)</f>
        <v>0</v>
      </c>
      <c r="M122" s="1796"/>
      <c r="N122" s="1799">
        <f>+ROUND(+G122+J122+L122,0)</f>
        <v>2589271</v>
      </c>
      <c r="O122" s="1943"/>
      <c r="P122" s="1832">
        <f>+ROUND(OTCHET!E520,0)</f>
        <v>0</v>
      </c>
      <c r="Q122" s="1831">
        <f>+ROUND(OTCHET!F520,0)</f>
        <v>2589271</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99781</v>
      </c>
      <c r="H123" s="1586"/>
      <c r="I123" s="1832">
        <f>+IF(OR($P$2=98,$P$2=42,$P$2=96,$P$2=97),$P123,0)</f>
        <v>0</v>
      </c>
      <c r="J123" s="1831">
        <f>+IF(OR($P$2=98,$P$2=42,$P$2=96,$P$2=97),$Q123,0)</f>
        <v>0</v>
      </c>
      <c r="K123" s="1796"/>
      <c r="L123" s="1831">
        <f>+IF($P$2=33,$Q123,0)</f>
        <v>0</v>
      </c>
      <c r="M123" s="1796"/>
      <c r="N123" s="1799">
        <f>+ROUND(+G123+J123+L123,0)</f>
        <v>99781</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99781</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2689052</v>
      </c>
      <c r="H125" s="1586"/>
      <c r="I125" s="1838">
        <f>+ROUND(+SUM(I121:I124),0)</f>
        <v>0</v>
      </c>
      <c r="J125" s="1837">
        <f>+ROUND(+SUM(J121:J124),0)</f>
        <v>0</v>
      </c>
      <c r="K125" s="1796"/>
      <c r="L125" s="1837">
        <f>+ROUND(+SUM(L121:L124),0)</f>
        <v>0</v>
      </c>
      <c r="M125" s="1796"/>
      <c r="N125" s="1839">
        <f>+ROUND(+SUM(N121:N124),0)</f>
        <v>2689052</v>
      </c>
      <c r="O125" s="1943"/>
      <c r="P125" s="1838">
        <f>+ROUND(+SUM(P121:P124),0)</f>
        <v>0</v>
      </c>
      <c r="Q125" s="1837">
        <f>+ROUND(+SUM(Q121:Q124),0)</f>
        <v>2689052</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53884490</v>
      </c>
      <c r="H127" s="1586"/>
      <c r="I127" s="1795">
        <f>+IF(OR($P$2=98,$P$2=42,$P$2=96,$P$2=97),$P127,0)</f>
        <v>0</v>
      </c>
      <c r="J127" s="1823">
        <f>+IF(OR($P$2=98,$P$2=42,$P$2=96,$P$2=97),$Q127,0)</f>
        <v>0</v>
      </c>
      <c r="K127" s="1796"/>
      <c r="L127" s="1823">
        <f>+IF($P$2=33,$Q127,0)</f>
        <v>0</v>
      </c>
      <c r="M127" s="1796"/>
      <c r="N127" s="1797">
        <f>+ROUND(+G127+J127+L127,0)</f>
        <v>53884490</v>
      </c>
      <c r="O127" s="1943"/>
      <c r="P127" s="1795">
        <f>+ROUND(+SUM(OTCHET!E563:E568)+SUM(OTCHET!E577:E578)+IF(AND(OTCHET!$F$12="9900",+OTCHET!$E$15=0),0,SUM(OTCHET!E583:E584)),0)</f>
        <v>14770900</v>
      </c>
      <c r="Q127" s="1823">
        <f>+ROUND(+SUM(OTCHET!F563:F568)+SUM(OTCHET!F577:F578)+IF(AND(OTCHET!$F$12="9900",+OTCHET!$E$15=0),0,SUM(OTCHET!F583:F584)),0)</f>
        <v>53884490</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86640689</v>
      </c>
      <c r="H129" s="1586"/>
      <c r="I129" s="1832">
        <f>+IF(OR($P$2=98,$P$2=42,$P$2=96,$P$2=97),$P129,0)</f>
        <v>0</v>
      </c>
      <c r="J129" s="1831">
        <f>+IF(OR($P$2=98,$P$2=42,$P$2=96,$P$2=97),$Q129,0)</f>
        <v>0</v>
      </c>
      <c r="K129" s="1796"/>
      <c r="L129" s="1831">
        <f>+IF($P$2=33,$Q129,0)</f>
        <v>0</v>
      </c>
      <c r="M129" s="1796"/>
      <c r="N129" s="1799">
        <f>+ROUND(+G129+J129+L129,0)</f>
        <v>86640689</v>
      </c>
      <c r="O129" s="1943"/>
      <c r="P129" s="1832">
        <f>+ROUND(-SUM(OTCHET!E569:E574)-SUM(OTCHET!E579:E580)-IF(AND(OTCHET!$F$12="9900",+OTCHET!$E$15=0),0,SUM(OTCHET!E585:E586)),0)</f>
        <v>12207300</v>
      </c>
      <c r="Q129" s="1831">
        <f>+ROUND(-SUM(OTCHET!F569:F574)-SUM(OTCHET!F579:F580)-IF(AND(OTCHET!$F$12="9900",+OTCHET!$E$15=0),0,SUM(OTCHET!F585:F586)),0)</f>
        <v>86640689</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32756199</v>
      </c>
      <c r="H130" s="1586"/>
      <c r="I130" s="1851">
        <f>+ROUND(+I129-I127-I128,0)</f>
        <v>0</v>
      </c>
      <c r="J130" s="1852">
        <f>+ROUND(+J129-J127-J128,0)</f>
        <v>0</v>
      </c>
      <c r="K130" s="1796"/>
      <c r="L130" s="1852">
        <f>+ROUND(+L129-L127-L128,0)</f>
        <v>0</v>
      </c>
      <c r="M130" s="1796"/>
      <c r="N130" s="1946">
        <f>+ROUND(+N129-N127-N128,0)</f>
        <v>32756199</v>
      </c>
      <c r="O130" s="1943"/>
      <c r="P130" s="1851">
        <f>+ROUND(+P129-P127-P128,0)</f>
        <v>-2563600</v>
      </c>
      <c r="Q130" s="1852">
        <f>+ROUND(+Q129-Q127-Q128,0)</f>
        <v>32756199</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42745</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42766</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7677580</v>
      </c>
      <c r="G22" s="965">
        <f t="shared" si="0"/>
        <v>7256911</v>
      </c>
      <c r="H22" s="966">
        <f t="shared" si="0"/>
        <v>0</v>
      </c>
      <c r="I22" s="966">
        <f t="shared" si="0"/>
        <v>0</v>
      </c>
      <c r="J22" s="967">
        <f t="shared" si="0"/>
        <v>420669</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1199756</v>
      </c>
      <c r="G23" s="968">
        <f>OTCHET!G22+OTCHET!G28+OTCHET!G33+OTCHET!G39+OTCHET!G47+OTCHET!G52+OTCHET!G58+OTCHET!G61+OTCHET!G64+OTCHET!G65+OTCHET!G72+OTCHET!G73+OTCHET!G74</f>
        <v>779087</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420669</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6477824</v>
      </c>
      <c r="G25" s="974">
        <f aca="true" t="shared" si="2" ref="G25:M25">+G26+G30+G31+G32+G33</f>
        <v>6477824</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6477824</v>
      </c>
      <c r="G26" s="977">
        <f>OTCHET!G75</f>
        <v>6477824</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0</v>
      </c>
      <c r="G31" s="992">
        <f>OTCHET!G108</f>
        <v>0</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2658011</v>
      </c>
      <c r="G38" s="1007">
        <f t="shared" si="3"/>
        <v>2658011</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7634</v>
      </c>
      <c r="G42" s="992">
        <f>+OTCHET!G204+OTCHET!G222+OTCHET!G271</f>
        <v>7634</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2650377</v>
      </c>
      <c r="G45" s="1013">
        <f>+OTCHET!G255+OTCHET!G256+OTCHET!G257+OTCHET!G258</f>
        <v>2650377</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5019569</v>
      </c>
      <c r="G62" s="1043">
        <f t="shared" si="5"/>
        <v>4598900</v>
      </c>
      <c r="H62" s="1044">
        <f t="shared" si="5"/>
        <v>0</v>
      </c>
      <c r="I62" s="1044">
        <f t="shared" si="5"/>
        <v>0</v>
      </c>
      <c r="J62" s="1045">
        <f t="shared" si="5"/>
        <v>420669</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-5019569</v>
      </c>
      <c r="G64" s="1046">
        <f aca="true" t="shared" si="7" ref="G64:L64">SUM(+G66+G74+G75+G82+G83+G84+G87+G88+G89+G90+G91+G92+G93)</f>
        <v>-4598900</v>
      </c>
      <c r="H64" s="1047">
        <f>SUM(+H66+H74+H75+H82+H83+H84+H87+H88+H89+H90+H91+H92+H93)</f>
        <v>0</v>
      </c>
      <c r="I64" s="1047">
        <f>SUM(+I66+I74+I75+I82+I83+I84+I87+I88+I89+I90+I91+I92+I93)</f>
        <v>0</v>
      </c>
      <c r="J64" s="1048">
        <f>SUM(+J66+J74+J75+J82+J83+J84+J87+J88+J89+J90+J91+J92+J93)</f>
        <v>-420669</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25047578</v>
      </c>
      <c r="G83" s="1031">
        <f>OTCHET!G532</f>
        <v>25047578</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2589271</v>
      </c>
      <c r="G84" s="1034">
        <f aca="true" t="shared" si="10" ref="G84:M84">+G85+G86</f>
        <v>2589271</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2589271</v>
      </c>
      <c r="G86" s="1058">
        <f>+OTCHET!G517+OTCHET!G520+OTCHET!G540</f>
        <v>2589271</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99781</v>
      </c>
      <c r="G87" s="1028">
        <f>OTCHET!G527</f>
        <v>520450</v>
      </c>
      <c r="H87" s="1029">
        <f>OTCHET!H527</f>
        <v>0</v>
      </c>
      <c r="I87" s="1029">
        <f>OTCHET!I527</f>
        <v>0</v>
      </c>
      <c r="J87" s="1030">
        <f>OTCHET!J527</f>
        <v>-420669</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53884490</v>
      </c>
      <c r="G91" s="992">
        <f>+OTCHET!G583+OTCHET!G584</f>
        <v>53884490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-86640689</v>
      </c>
      <c r="G92" s="992">
        <f>+OTCHET!G585+OTCHET!G586</f>
        <v>-86640689</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t="str">
        <f>+OTCHET!H601</f>
        <v>Lyudmila.Lyubomirova@nssi.bg</v>
      </c>
      <c r="C105" s="837"/>
      <c r="D105" s="837"/>
      <c r="E105" s="1154"/>
      <c r="F105" s="420"/>
      <c r="G105" s="1386" t="str">
        <f>+OTCHET!E601</f>
        <v>926-13-30</v>
      </c>
      <c r="H105" s="1386">
        <f>+OTCHET!F601</f>
        <v>0</v>
      </c>
      <c r="I105" s="1387"/>
      <c r="J105" s="1948">
        <f>+OTCHET!B601</f>
        <v>42745</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Бисер Петков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42766</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1199756</v>
      </c>
      <c r="G25" s="71">
        <f>OTCHET!$G39</f>
        <v>779087</v>
      </c>
      <c r="H25" s="71">
        <f>OTCHET!$H39</f>
        <v>0</v>
      </c>
      <c r="I25" s="71">
        <f>OTCHET!$I39</f>
        <v>0</v>
      </c>
      <c r="J25" s="71">
        <f>OTCHET!$J39</f>
        <v>420669</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6477824</v>
      </c>
      <c r="G35" s="71">
        <f>OTCHET!$G75</f>
        <v>6477824</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0</v>
      </c>
      <c r="G39" s="71">
        <f>OTCHET!$G108</f>
        <v>0</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7677580</v>
      </c>
      <c r="G49" s="86">
        <f>OTCHET!$G168</f>
        <v>7256911</v>
      </c>
      <c r="H49" s="86">
        <f>OTCHET!$H168</f>
        <v>0</v>
      </c>
      <c r="I49" s="86">
        <f>OTCHET!$I168</f>
        <v>0</v>
      </c>
      <c r="J49" s="86">
        <f>OTCHET!$J168</f>
        <v>420669</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42766</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7634</v>
      </c>
      <c r="G70" s="71">
        <f>OTCHET!$G204</f>
        <v>7634</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2650377</v>
      </c>
      <c r="G82" s="71">
        <f>OTCHET!$G257</f>
        <v>2650377</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2658011</v>
      </c>
      <c r="G96" s="86">
        <f>OTCHET!$G301</f>
        <v>2658011</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42766</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42766</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5019569</v>
      </c>
      <c r="G148" s="147">
        <f t="shared" si="3"/>
        <v>4598900</v>
      </c>
      <c r="H148" s="147">
        <f t="shared" si="3"/>
        <v>0</v>
      </c>
      <c r="I148" s="147">
        <f t="shared" si="3"/>
        <v>0</v>
      </c>
      <c r="J148" s="147">
        <f t="shared" si="3"/>
        <v>420669</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42766</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2589271</v>
      </c>
      <c r="G176" s="122">
        <f>OTCHET!$G520</f>
        <v>2589271</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99781</v>
      </c>
      <c r="G177" s="122">
        <f>OTCHET!$G527</f>
        <v>520450</v>
      </c>
      <c r="H177" s="122">
        <f>OTCHET!$H527</f>
        <v>0</v>
      </c>
      <c r="I177" s="122">
        <f>OTCHET!$I527</f>
        <v>0</v>
      </c>
      <c r="J177" s="122">
        <f>OTCHET!$J527</f>
        <v>-420669</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25047578</v>
      </c>
      <c r="G179" s="122">
        <f>OTCHET!$G532</f>
        <v>25047578</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-32756199</v>
      </c>
      <c r="G183" s="122">
        <f>OTCHET!$G582</f>
        <v>-32756199</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-5019569</v>
      </c>
      <c r="G185" s="86">
        <f>OTCHET!$G593</f>
        <v>-4598900</v>
      </c>
      <c r="H185" s="86">
        <f>OTCHET!$H593</f>
        <v>0</v>
      </c>
      <c r="I185" s="86">
        <f>OTCHET!$I593</f>
        <v>0</v>
      </c>
      <c r="J185" s="86">
        <f>OTCHET!$J593</f>
        <v>-420669</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42766</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2658011</v>
      </c>
      <c r="G204" s="201">
        <f>SUMIF(OTCHET!L:L,5,OTCHET!G:G)</f>
        <v>2658011</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2658011</v>
      </c>
      <c r="G209" s="171">
        <f t="shared" si="5"/>
        <v>2658011</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2">
      <selection activeCell="G86" sqref="G86"/>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2216</v>
      </c>
      <c r="C9" s="2211"/>
      <c r="D9" s="2212"/>
      <c r="E9" s="1096">
        <v>42736</v>
      </c>
      <c r="F9" s="1097">
        <v>42766</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1199756</v>
      </c>
      <c r="G39" s="615">
        <f t="shared" si="4"/>
        <v>779087</v>
      </c>
      <c r="H39" s="616">
        <f t="shared" si="4"/>
        <v>0</v>
      </c>
      <c r="I39" s="617">
        <f t="shared" si="4"/>
        <v>0</v>
      </c>
      <c r="J39" s="618">
        <f t="shared" si="4"/>
        <v>420669</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1199756</v>
      </c>
      <c r="G40" s="545">
        <v>779087</v>
      </c>
      <c r="H40" s="546"/>
      <c r="I40" s="546"/>
      <c r="J40" s="547">
        <v>420669</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6477824</v>
      </c>
      <c r="G75" s="615">
        <f t="shared" si="12"/>
        <v>6477824</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6477824</v>
      </c>
      <c r="G86" s="548">
        <v>6477824</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0</v>
      </c>
      <c r="G108" s="615">
        <f>+G109+G110+G111</f>
        <v>0</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0</v>
      </c>
      <c r="G111" s="557"/>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7677580</v>
      </c>
      <c r="G168" s="619">
        <f t="shared" si="31"/>
        <v>7256911</v>
      </c>
      <c r="H168" s="620">
        <f t="shared" si="31"/>
        <v>0</v>
      </c>
      <c r="I168" s="620">
        <f t="shared" si="31"/>
        <v>0</v>
      </c>
      <c r="J168" s="621">
        <f t="shared" si="31"/>
        <v>420669</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42766</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7634</v>
      </c>
      <c r="G204" s="578">
        <f t="shared" si="39"/>
        <v>7634</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7634</v>
      </c>
      <c r="G218" s="599">
        <f t="shared" si="41"/>
        <v>7634</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2650377</v>
      </c>
      <c r="G257" s="578">
        <f t="shared" si="53"/>
        <v>2650377</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2658011</v>
      </c>
      <c r="G301" s="761">
        <f t="shared" si="68"/>
        <v>2658011</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42766</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42766</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42766</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5019569</v>
      </c>
      <c r="G441" s="1484">
        <f t="shared" si="91"/>
        <v>4598900</v>
      </c>
      <c r="H441" s="1485">
        <f t="shared" si="91"/>
        <v>0</v>
      </c>
      <c r="I441" s="1485">
        <f t="shared" si="91"/>
        <v>0</v>
      </c>
      <c r="J441" s="1486">
        <f t="shared" si="91"/>
        <v>420669</v>
      </c>
      <c r="K441" s="4">
        <v>1</v>
      </c>
      <c r="L441" s="533"/>
    </row>
    <row r="442" spans="1:12" ht="16.5" thickBot="1">
      <c r="A442" s="9"/>
      <c r="B442" s="1156"/>
      <c r="C442" s="1157"/>
      <c r="D442" s="1487" t="s">
        <v>1375</v>
      </c>
      <c r="E442" s="1488">
        <f aca="true" t="shared" si="92" ref="E442:J443">+E593</f>
        <v>-23949500</v>
      </c>
      <c r="F442" s="1488">
        <f t="shared" si="92"/>
        <v>-5019569</v>
      </c>
      <c r="G442" s="1489">
        <f t="shared" si="92"/>
        <v>-4598900</v>
      </c>
      <c r="H442" s="1490">
        <f t="shared" si="92"/>
        <v>0</v>
      </c>
      <c r="I442" s="1490">
        <f t="shared" si="92"/>
        <v>0</v>
      </c>
      <c r="J442" s="1491">
        <f t="shared" si="92"/>
        <v>-420669</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42766</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2589271</v>
      </c>
      <c r="G520" s="734">
        <f t="shared" si="108"/>
        <v>2589271</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2589271</v>
      </c>
      <c r="G525" s="548">
        <v>2589271</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99781</v>
      </c>
      <c r="G527" s="734">
        <f t="shared" si="111"/>
        <v>520450</v>
      </c>
      <c r="H527" s="732">
        <f t="shared" si="111"/>
        <v>0</v>
      </c>
      <c r="I527" s="732">
        <f t="shared" si="111"/>
        <v>0</v>
      </c>
      <c r="J527" s="700">
        <f t="shared" si="111"/>
        <v>-420669</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99781</v>
      </c>
      <c r="G528" s="545">
        <v>520450</v>
      </c>
      <c r="H528" s="546"/>
      <c r="I528" s="546"/>
      <c r="J528" s="547">
        <v>-420669</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25047578</v>
      </c>
      <c r="G532" s="743">
        <f t="shared" si="112"/>
        <v>25047578</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-4960834</v>
      </c>
      <c r="G533" s="545">
        <v>-4960834</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30008412</v>
      </c>
      <c r="G536" s="557">
        <v>30008412</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-32756199</v>
      </c>
      <c r="G582" s="734">
        <f t="shared" si="118"/>
        <v>-32756199</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13884490</v>
      </c>
      <c r="G583" s="545">
        <v>13884490</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-6640689</v>
      </c>
      <c r="G585" s="554">
        <v>-6640689</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-80000000</v>
      </c>
      <c r="G586" s="557">
        <v>-80000000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-5019569</v>
      </c>
      <c r="G593" s="1521">
        <f t="shared" si="121"/>
        <v>-4598900</v>
      </c>
      <c r="H593" s="1522">
        <f t="shared" si="121"/>
        <v>0</v>
      </c>
      <c r="I593" s="1522">
        <f t="shared" si="121"/>
        <v>0</v>
      </c>
      <c r="J593" s="1523">
        <f t="shared" si="121"/>
        <v>-420669</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2214</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2218</v>
      </c>
      <c r="E599" s="1163"/>
      <c r="F599" s="386" t="s">
        <v>1449</v>
      </c>
      <c r="G599" s="2250" t="s">
        <v>2215</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42745</v>
      </c>
      <c r="C601" s="2240"/>
      <c r="D601" s="1166" t="s">
        <v>1450</v>
      </c>
      <c r="E601" s="2012" t="s">
        <v>2217</v>
      </c>
      <c r="F601" s="1155"/>
      <c r="G601" s="1164" t="s">
        <v>1451</v>
      </c>
      <c r="H601" s="2220" t="s">
        <v>2219</v>
      </c>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42766</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7634</v>
      </c>
      <c r="G642" s="578">
        <f t="shared" si="128"/>
        <v>7634</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7634</v>
      </c>
      <c r="G656" s="737">
        <v>7634</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2650377</v>
      </c>
      <c r="G695" s="1343">
        <v>2650377</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2658011</v>
      </c>
      <c r="G740" s="761">
        <f t="shared" si="149"/>
        <v>2658011</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42766</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Людмила В. Любомирова-Захариева</cp:lastModifiedBy>
  <cp:lastPrinted>2016-01-15T17:01:19Z</cp:lastPrinted>
  <dcterms:created xsi:type="dcterms:W3CDTF">1997-12-10T11:54:07Z</dcterms:created>
  <dcterms:modified xsi:type="dcterms:W3CDTF">2017-02-21T07:30:27Z</dcterms:modified>
  <cp:category/>
  <cp:version/>
  <cp:contentType/>
  <cp:contentStatus/>
</cp:coreProperties>
</file>