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<sst xmlns="http://schemas.openxmlformats.org/spreadsheetml/2006/main" count="529" uniqueCount="358">
  <si>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</si>
  <si>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</si>
  <si>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</si>
  <si>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</si>
  <si>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</si>
  <si>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</si>
  <si>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</si>
  <si>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</si>
  <si>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</si>
  <si>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</si>
  <si>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</si>
  <si>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</si>
  <si>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</si>
  <si>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</si>
  <si>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</si>
  <si>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</si>
  <si>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</si>
  <si>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</si>
  <si>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</si>
  <si>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</si>
  <si>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</si>
  <si>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</si>
  <si>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</si>
  <si>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</si>
  <si>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</si>
  <si>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</si>
  <si>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</si>
  <si>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</si>
  <si>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</si>
  <si>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</si>
  <si>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</si>
  <si>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</si>
  <si>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</si>
  <si>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</si>
  <si>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</si>
  <si>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</si>
  <si>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</si>
  <si>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</si>
  <si>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</si>
  <si>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</si>
  <si>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</si>
  <si>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</si>
  <si>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</si>
  <si>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</si>
  <si>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</si>
  <si>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</si>
  <si>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</si>
  <si>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</si>
  <si>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</si>
  <si>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</si>
  <si>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</si>
  <si>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</si>
  <si>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</si>
  <si>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</si>
  <si>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</si>
  <si>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</si>
  <si>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</si>
  <si>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</si>
  <si>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</si>
  <si>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</si>
  <si>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</si>
  <si>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</si>
  <si>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</si>
  <si>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</si>
  <si>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</si>
  <si>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</si>
  <si>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</si>
  <si>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</si>
  <si>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</si>
  <si>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</si>
  <si>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</si>
  <si>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</si>
  <si>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</si>
  <si>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</si>
  <si>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</si>
  <si>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</si>
  <si>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</si>
  <si>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</si>
  <si>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</si>
  <si>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</si>
  <si>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</si>
  <si>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</si>
  <si>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</si>
  <si>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</si>
  <si>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</si>
  <si>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</si>
  <si>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</si>
  <si>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</si>
  <si>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</si>
  <si>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</si>
  <si>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</si>
  <si>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</si>
  <si>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</si>
  <si>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</si>
  <si>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</si>
  <si>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</si>
  <si>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</si>
  <si>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</si>
  <si>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</si>
  <si>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</si>
  <si>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</si>
  <si>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</si>
  <si>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</si>
  <si>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</si>
  <si>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</si>
  <si>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</si>
  <si>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</si>
  <si>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</si>
  <si>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</si>
  <si>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</si>
  <si>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</si>
  <si>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</si>
  <si>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</si>
  <si>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</si>
  <si>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</si>
  <si>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</si>
  <si>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</si>
  <si>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</si>
  <si>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</si>
  <si>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</si>
  <si>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</si>
  <si>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</si>
  <si>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</si>
  <si>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</si>
  <si>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</si>
  <si>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</si>
  <si>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</si>
  <si>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</si>
  <si>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</si>
  <si>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</si>
  <si>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</si>
  <si>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</si>
  <si>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</si>
  <si>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</si>
  <si>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</si>
  <si>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</si>
  <si>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</si>
  <si>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</si>
  <si>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</si>
  <si>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</si>
  <si>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</si>
  <si>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</si>
  <si>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</si>
  <si>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</si>
  <si>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</si>
  <si>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</si>
  <si>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</si>
  <si>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</si>
  <si>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</si>
  <si>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</si>
  <si>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</si>
  <si>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</si>
  <si>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</si>
  <si>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</si>
  <si>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</si>
  <si>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</si>
  <si>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</si>
  <si>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</si>
  <si>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</si>
  <si>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</si>
  <si>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</si>
  <si>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</si>
  <si>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</si>
  <si>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</si>
  <si>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</si>
  <si>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</si>
  <si>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</si>
  <si>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</si>
  <si>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</si>
  <si>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</si>
  <si>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</si>
  <si>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</si>
  <si>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</si>
  <si>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</si>
  <si>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</si>
  <si>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</si>
  <si>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</si>
  <si>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</si>
  <si>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</si>
  <si>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</si>
  <si>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</si>
  <si>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</si>
  <si>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</si>
  <si>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</si>
  <si>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</si>
  <si>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</si>
  <si>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</si>
  <si>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</si>
  <si>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</si>
  <si>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</si>
  <si>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</si>
  <si>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</si>
  <si>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</si>
  <si>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</si>
  <si>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</si>
  <si>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</si>
  <si>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</si>
  <si>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</si>
  <si>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</si>
  <si>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</si>
  <si>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</si>
  <si>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</si>
  <si>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</si>
  <si>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</si>
  <si>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</si>
  <si>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</si>
  <si>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</si>
  <si>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</si>
  <si>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</si>
  <si>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</si>
  <si>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</si>
  <si>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</si>
  <si>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</si>
  <si>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</si>
  <si>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</si>
  <si>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</si>
  <si>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</si>
  <si>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</si>
  <si>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</si>
  <si>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</si>
  <si>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</si>
  <si>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</si>
  <si>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</si>
  <si>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</si>
  <si>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</si>
  <si>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</si>
  <si>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</si>
  <si>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</si>
  <si>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</si>
  <si>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</si>
  <si>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</si>
  <si>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</si>
  <si>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</si>
  <si>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</si>
  <si>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</si>
  <si>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</si>
  <si>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</si>
  <si>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</si>
  <si>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</si>
  <si>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</si>
  <si>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</si>
  <si>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</si>
  <si>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</si>
  <si>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</si>
  <si>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</si>
  <si>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</si>
  <si>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</si>
  <si>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</si>
  <si>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</si>
  <si>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</si>
  <si>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</si>
  <si>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</si>
  <si>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</si>
  <si>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</si>
  <si>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</si>
  <si>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</si>
  <si>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</si>
  <si>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</si>
  <si>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</si>
  <si>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</si>
  <si>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</si>
  <si>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</si>
  <si>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</si>
  <si>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</si>
  <si>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</si>
  <si>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</si>
  <si>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</si>
  <si>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</si>
  <si>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</si>
  <si>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</si>
  <si>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</si>
  <si>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</si>
  <si>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</si>
  <si>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</si>
  <si>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</si>
  <si>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</si>
  <si>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</si>
  <si>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</si>
  <si>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</si>
  <si>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</si>
  <si>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</si>
  <si>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</si>
  <si>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</si>
  <si>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</si>
  <si>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</si>
  <si>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</si>
  <si>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</si>
  <si>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</si>
  <si>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</si>
  <si>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</si>
  <si>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</si>
  <si>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</si>
  <si>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</si>
  <si>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</si>
  <si>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</si>
  <si>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</si>
  <si>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</si>
  <si>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</si>
  <si>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</si>
  <si>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</si>
  <si>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</si>
  <si>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</si>
  <si>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</si>
  <si>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</si>
  <si>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</si>
  <si>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</si>
  <si>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</si>
  <si>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</si>
  <si>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</si>
  <si>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</si>
  <si>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</si>
  <si>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</si>
  <si>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</si>
  <si>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</si>
  <si>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</si>
  <si>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</si>
  <si>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</si>
  <si>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</si>
  <si>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</si>
  <si>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</si>
  <si>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</si>
  <si>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</si>
  <si>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</si>
  <si>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</si>
  <si>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</si>
  <si>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</si>
  <si>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</si>
  <si>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</si>
  <si>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</si>
  <si>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</si>
  <si>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</si>
  <si>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</si>
  <si>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</si>
  <si>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</si>
  <si>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</si>
  <si>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</si>
  <si>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</si>
  <si>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</si>
  <si>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</si>
  <si>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</si>
  <si>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</si>
  <si>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</si>
  <si>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</si>
  <si>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</si>
  <si>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</si>
  <si>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</si>
  <si>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</si>
  <si>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</si>
  <si>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</si>
  <si>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</si>
  <si>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</si>
  <si>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</si>
  <si>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</si>
  <si>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</si>
  <si>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НОИ-ФОНД ГВРС</t>
  </si>
  <si>
    <t>Vanya.Borisova@nssi.bg</t>
  </si>
  <si>
    <t>Пепа Хаджиева</t>
  </si>
  <si>
    <t>Ваня Борисова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</si>
</sst>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66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26" borderId="30" xfId="0" applyNumberFormat="1" applyFont="1" applyFill="1" applyBorder="1" applyAlignment="1" applyProtection="1">
      <alignment horizontal="center"/>
      <protection/>
    </xf>
    <xf numFmtId="166" fontId="12" fillId="26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6" fontId="5" fillId="39" borderId="69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66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64" fontId="57" fillId="50" borderId="30" xfId="39" applyNumberFormat="1" applyFont="1" applyFill="1" applyBorder="1" applyAlignment="1" applyProtection="1">
      <alignment horizontal="center" vertical="center"/>
      <protection locked="0"/>
    </xf>
    <xf numFmtId="166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64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64" fontId="164" fillId="33" borderId="30" xfId="39" applyNumberFormat="1" applyFont="1" applyFill="1" applyBorder="1" applyAlignment="1" applyProtection="1">
      <alignment horizontal="center" vertical="center"/>
      <protection/>
    </xf>
    <xf numFmtId="164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26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66" fillId="26" borderId="119" xfId="0" applyNumberFormat="1" applyFont="1" applyFill="1" applyBorder="1" applyAlignment="1" applyProtection="1" quotePrefix="1">
      <alignment/>
      <protection/>
    </xf>
    <xf numFmtId="166" fontId="167" fillId="26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4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26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33" applyNumberFormat="1" applyFont="1" applyFill="1" applyBorder="1" applyAlignment="1">
      <alignment horizontal="center"/>
      <protection/>
    </xf>
    <xf numFmtId="171" fontId="66" fillId="53" borderId="0" xfId="33" applyNumberFormat="1" applyFont="1" applyFill="1" applyBorder="1" applyAlignment="1">
      <alignment horizontal="center"/>
      <protection/>
    </xf>
    <xf numFmtId="171" fontId="24" fillId="26" borderId="0" xfId="33" applyNumberFormat="1" applyFont="1" applyFill="1" applyBorder="1" applyAlignment="1">
      <alignment horizontal="center"/>
      <protection/>
    </xf>
    <xf numFmtId="168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4" fillId="33" borderId="0" xfId="33" applyNumberFormat="1" applyFont="1" applyFill="1" applyBorder="1" applyAlignment="1">
      <alignment/>
      <protection/>
    </xf>
    <xf numFmtId="171" fontId="24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0" fontId="67" fillId="26" borderId="72" xfId="33" applyNumberFormat="1" applyFont="1" applyFill="1" applyBorder="1" applyAlignment="1">
      <alignment horizontal="center"/>
      <protection/>
    </xf>
    <xf numFmtId="170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69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69" fontId="24" fillId="26" borderId="20" xfId="33" applyNumberFormat="1" applyFont="1" applyFill="1" applyBorder="1">
      <alignment/>
      <protection/>
    </xf>
    <xf numFmtId="168" fontId="24" fillId="26" borderId="20" xfId="33" applyNumberFormat="1" applyFont="1" applyFill="1" applyBorder="1" applyAlignment="1">
      <alignment horizontal="left"/>
      <protection/>
    </xf>
    <xf numFmtId="185" fontId="141" fillId="40" borderId="27" xfId="34" applyNumberFormat="1" applyFont="1" applyFill="1" applyBorder="1" applyAlignment="1">
      <alignment horizontal="center"/>
      <protection/>
    </xf>
    <xf numFmtId="171" fontId="24" fillId="26" borderId="0" xfId="33" applyNumberFormat="1" applyFont="1" applyFill="1" applyBorder="1" applyAlignment="1">
      <alignment horizontal="center"/>
      <protection/>
    </xf>
    <xf numFmtId="171" fontId="24" fillId="33" borderId="0" xfId="33" applyNumberFormat="1" applyFont="1" applyFill="1" applyBorder="1" applyAlignment="1">
      <alignment horizontal="center"/>
      <protection/>
    </xf>
    <xf numFmtId="169" fontId="24" fillId="53" borderId="0" xfId="33" applyNumberFormat="1" applyFont="1" applyFill="1" applyBorder="1" applyAlignment="1">
      <alignment horizontal="center"/>
      <protection/>
    </xf>
    <xf numFmtId="169" fontId="24" fillId="33" borderId="0" xfId="33" applyNumberFormat="1" applyFont="1" applyFill="1" applyBorder="1" applyAlignment="1">
      <alignment horizontal="center"/>
      <protection/>
    </xf>
    <xf numFmtId="168" fontId="24" fillId="26" borderId="0" xfId="33" applyNumberFormat="1" applyFont="1" applyFill="1" applyBorder="1" applyAlignment="1">
      <alignment horizontal="center"/>
      <protection/>
    </xf>
    <xf numFmtId="170" fontId="24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4" fillId="33" borderId="0" xfId="33" applyNumberFormat="1" applyFont="1" applyFill="1" applyBorder="1" applyAlignment="1">
      <alignment horizontal="center"/>
      <protection/>
    </xf>
    <xf numFmtId="170" fontId="24" fillId="38" borderId="0" xfId="33" applyNumberFormat="1" applyFont="1" applyFill="1" applyBorder="1" applyAlignment="1">
      <alignment horizontal="center"/>
      <protection/>
    </xf>
    <xf numFmtId="179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4" fillId="36" borderId="46" xfId="70" applyFont="1" applyFill="1" applyBorder="1" applyAlignment="1" applyProtection="1">
      <alignment horizontal="center" vertical="center"/>
      <protection locked="0"/>
    </xf>
    <xf numFmtId="0" fontId="174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5" fillId="33" borderId="46" xfId="70" applyNumberFormat="1" applyFont="1" applyFill="1" applyBorder="1" applyAlignment="1" applyProtection="1">
      <alignment horizontal="center" vertical="center"/>
      <protection locked="0"/>
    </xf>
    <xf numFmtId="38" fontId="175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 quotePrefix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26" borderId="48" xfId="33" applyFont="1" applyFill="1" applyBorder="1" applyAlignment="1" applyProtection="1" quotePrefix="1">
      <alignment horizontal="center"/>
      <protection/>
    </xf>
    <xf numFmtId="0" fontId="177" fillId="38" borderId="29" xfId="39" applyFont="1" applyFill="1" applyBorder="1" applyAlignment="1" applyProtection="1">
      <alignment horizontal="center" vertical="center" wrapText="1"/>
      <protection locked="0"/>
    </xf>
    <xf numFmtId="0" fontId="177" fillId="38" borderId="20" xfId="39" applyFont="1" applyFill="1" applyBorder="1" applyAlignment="1" applyProtection="1">
      <alignment horizontal="center" vertical="center" wrapText="1"/>
      <protection locked="0"/>
    </xf>
    <xf numFmtId="0" fontId="177" fillId="38" borderId="21" xfId="39" applyFont="1" applyFill="1" applyBorder="1" applyAlignment="1" applyProtection="1">
      <alignment horizontal="center" vertical="center" wrapText="1"/>
      <protection locked="0"/>
    </xf>
    <xf numFmtId="0" fontId="178" fillId="33" borderId="64" xfId="37" applyFont="1" applyFill="1" applyBorder="1" applyAlignment="1" applyProtection="1">
      <alignment horizontal="center"/>
      <protection/>
    </xf>
    <xf numFmtId="0" fontId="178" fillId="33" borderId="0" xfId="37" applyFont="1" applyFill="1" applyBorder="1" applyAlignment="1" applyProtection="1">
      <alignment horizontal="center"/>
      <protection/>
    </xf>
    <xf numFmtId="0" fontId="178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179" fillId="26" borderId="0" xfId="36" applyFont="1" applyFill="1" applyBorder="1" applyAlignment="1" applyProtection="1">
      <alignment horizontal="center"/>
      <protection/>
    </xf>
    <xf numFmtId="177" fontId="150" fillId="33" borderId="31" xfId="36" applyNumberFormat="1" applyFont="1" applyFill="1" applyBorder="1" applyAlignment="1" applyProtection="1">
      <alignment horizontal="center"/>
      <protection/>
    </xf>
    <xf numFmtId="177" fontId="150" fillId="33" borderId="46" xfId="36" applyNumberFormat="1" applyFont="1" applyFill="1" applyBorder="1" applyAlignment="1" applyProtection="1">
      <alignment horizontal="center"/>
      <protection/>
    </xf>
    <xf numFmtId="177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77" fontId="180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178" fontId="181" fillId="46" borderId="31" xfId="33" applyNumberFormat="1" applyFont="1" applyFill="1" applyBorder="1" applyAlignment="1" applyProtection="1">
      <alignment horizontal="center" vertical="center"/>
      <protection locked="0"/>
    </xf>
    <xf numFmtId="178" fontId="181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8" fontId="181" fillId="46" borderId="31" xfId="33" applyNumberFormat="1" applyFont="1" applyFill="1" applyBorder="1" applyAlignment="1" applyProtection="1">
      <alignment horizontal="center" vertical="center"/>
      <protection/>
    </xf>
    <xf numFmtId="178" fontId="181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0" fillId="33" borderId="0" xfId="36" applyNumberFormat="1" applyFont="1" applyFill="1" applyBorder="1" applyAlignment="1" applyProtection="1">
      <alignment horizontal="center"/>
      <protection/>
    </xf>
    <xf numFmtId="0" fontId="176" fillId="33" borderId="48" xfId="33" applyFont="1" applyFill="1" applyBorder="1" applyAlignment="1" applyProtection="1" quotePrefix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177" fontId="4" fillId="26" borderId="46" xfId="36" applyNumberFormat="1" applyFont="1" applyFill="1" applyBorder="1" applyAlignment="1" applyProtection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0" fontId="178" fillId="33" borderId="119" xfId="37" applyFont="1" applyFill="1" applyBorder="1" applyAlignment="1" applyProtection="1">
      <alignment horizontal="center"/>
      <protection/>
    </xf>
    <xf numFmtId="0" fontId="178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3">
        <f>+'Cash-Flow-2019-Leva'!P5</f>
        <v>2019</v>
      </c>
      <c r="M2" s="553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8">
        <f>+'Cash-Flow-2019-Leva'!P5</f>
        <v>2019</v>
      </c>
      <c r="I7" s="558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0">
        <f>+'Cash-Flow-2019-Leva'!P5</f>
        <v>2019</v>
      </c>
      <c r="G25" s="560"/>
      <c r="H25" s="560"/>
      <c r="I25" s="560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4">
        <f>+H7</f>
        <v>2019</v>
      </c>
      <c r="H32" s="55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56">
        <f>+F25-1</f>
        <v>2018</v>
      </c>
      <c r="M35" s="55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55">
        <f>+H7-1</f>
        <v>2018</v>
      </c>
      <c r="H37" s="555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1">
        <f>+'Cash-Flow-2019-Leva'!P5</f>
        <v>2019</v>
      </c>
      <c r="G48" s="561"/>
      <c r="H48" s="561"/>
      <c r="I48" s="561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3">
        <f>+'Cash-Flow-2019-Leva'!P5</f>
        <v>2019</v>
      </c>
      <c r="H49" s="563"/>
      <c r="I49" s="563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2">
        <f>+'Cash-Flow-2019-Leva'!P5</f>
        <v>2019</v>
      </c>
      <c r="G50" s="562"/>
      <c r="H50" s="562"/>
      <c r="I50" s="562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7">
        <f>+'Cash-Flow-2019-Leva'!P5</f>
        <v>2019</v>
      </c>
      <c r="F66" s="557"/>
      <c r="G66" s="557"/>
      <c r="H66" s="557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9">
        <f>+'Cash-Flow-2019-Leva'!P5</f>
        <v>2019</v>
      </c>
      <c r="I68" s="559"/>
      <c r="J68" s="559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3" sqref="M143:P14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354</v>
      </c>
      <c r="C1" s="573"/>
      <c r="D1" s="573"/>
      <c r="E1" s="573"/>
      <c r="F1" s="574"/>
      <c r="G1" s="442" t="s">
        <v>252</v>
      </c>
      <c r="H1" s="435"/>
      <c r="I1" s="564">
        <v>1210825120299</v>
      </c>
      <c r="J1" s="565"/>
      <c r="K1" s="436"/>
      <c r="L1" s="444" t="s">
        <v>253</v>
      </c>
      <c r="M1" s="440">
        <v>5592</v>
      </c>
      <c r="N1" s="436"/>
      <c r="O1" s="444" t="s">
        <v>245</v>
      </c>
      <c r="P1" s="463"/>
      <c r="Q1" s="437"/>
      <c r="R1" s="352" t="s">
        <v>286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258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 t="s">
        <v>355</v>
      </c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НОИ-ФОНД ГВРС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302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5047</v>
      </c>
      <c r="G15" s="237">
        <v>34759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5047</v>
      </c>
      <c r="P15" s="387">
        <f t="shared" si="0"/>
        <v>34759</v>
      </c>
      <c r="Q15" s="31"/>
      <c r="R15" s="596" t="s">
        <v>154</v>
      </c>
      <c r="S15" s="597"/>
      <c r="T15" s="598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296</v>
      </c>
      <c r="S16" s="605"/>
      <c r="T16" s="606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289</v>
      </c>
      <c r="S17" s="611"/>
      <c r="T17" s="61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1597</v>
      </c>
      <c r="G18" s="237">
        <v>4341</v>
      </c>
      <c r="H18" s="15"/>
      <c r="I18" s="238"/>
      <c r="J18" s="237"/>
      <c r="K18" s="235"/>
      <c r="L18" s="238"/>
      <c r="M18" s="237"/>
      <c r="N18" s="235"/>
      <c r="O18" s="374">
        <f t="shared" si="0"/>
        <v>1597</v>
      </c>
      <c r="P18" s="387">
        <f t="shared" si="0"/>
        <v>4341</v>
      </c>
      <c r="Q18" s="31"/>
      <c r="R18" s="596" t="s">
        <v>155</v>
      </c>
      <c r="S18" s="597"/>
      <c r="T18" s="598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07" t="s">
        <v>156</v>
      </c>
      <c r="S19" s="608"/>
      <c r="T19" s="60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607" t="s">
        <v>157</v>
      </c>
      <c r="S20" s="608"/>
      <c r="T20" s="60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2668202</v>
      </c>
      <c r="G22" s="239">
        <v>6423667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2668202</v>
      </c>
      <c r="P22" s="421">
        <f t="shared" si="0"/>
        <v>6423667</v>
      </c>
      <c r="Q22" s="31"/>
      <c r="R22" s="607" t="s">
        <v>159</v>
      </c>
      <c r="S22" s="608"/>
      <c r="T22" s="60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200</v>
      </c>
      <c r="G24" s="241">
        <v>1100</v>
      </c>
      <c r="H24" s="15"/>
      <c r="I24" s="242"/>
      <c r="J24" s="241"/>
      <c r="K24" s="235"/>
      <c r="L24" s="242"/>
      <c r="M24" s="241"/>
      <c r="N24" s="235"/>
      <c r="O24" s="370">
        <f t="shared" si="0"/>
        <v>200</v>
      </c>
      <c r="P24" s="393">
        <f t="shared" si="0"/>
        <v>1100</v>
      </c>
      <c r="Q24" s="31"/>
      <c r="R24" s="613" t="s">
        <v>290</v>
      </c>
      <c r="S24" s="614"/>
      <c r="T24" s="615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2675046</v>
      </c>
      <c r="G25" s="243">
        <f>+ROUND(+SUM(G15,G16,G18,G19,G20,G21,G22,G23,G24),0)</f>
        <v>6463867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2675046</v>
      </c>
      <c r="P25" s="372">
        <f>+ROUND(+SUM(P15,P16,P18,P19,P20,P21,P22,P23,P24),0)</f>
        <v>6463867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2675046</v>
      </c>
      <c r="G50" s="265">
        <f>+ROUND(G25+G30+G37+G42+G48,0)</f>
        <v>6463867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2675046</v>
      </c>
      <c r="P50" s="389">
        <f>+ROUND(P25+P30+P37+P42+P48,0)</f>
        <v>6463867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6815</v>
      </c>
      <c r="G53" s="267">
        <v>101551</v>
      </c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6815</v>
      </c>
      <c r="P53" s="368">
        <f t="shared" si="4"/>
        <v>101551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9814</v>
      </c>
      <c r="G54" s="241">
        <v>10031</v>
      </c>
      <c r="H54" s="15"/>
      <c r="I54" s="242"/>
      <c r="J54" s="241"/>
      <c r="K54" s="235"/>
      <c r="L54" s="242"/>
      <c r="M54" s="241"/>
      <c r="N54" s="235"/>
      <c r="O54" s="370">
        <f t="shared" si="4"/>
        <v>9814</v>
      </c>
      <c r="P54" s="393">
        <f t="shared" si="4"/>
        <v>10031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280</v>
      </c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280</v>
      </c>
      <c r="P55" s="393">
        <f t="shared" si="4"/>
        <v>0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18177</v>
      </c>
      <c r="G56" s="241">
        <v>77499</v>
      </c>
      <c r="H56" s="15"/>
      <c r="I56" s="242"/>
      <c r="J56" s="241"/>
      <c r="K56" s="235"/>
      <c r="L56" s="242"/>
      <c r="M56" s="241"/>
      <c r="N56" s="235"/>
      <c r="O56" s="370">
        <f t="shared" si="4"/>
        <v>18177</v>
      </c>
      <c r="P56" s="393">
        <f t="shared" si="4"/>
        <v>77499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-260</v>
      </c>
      <c r="G57" s="241">
        <v>586</v>
      </c>
      <c r="H57" s="15"/>
      <c r="I57" s="242"/>
      <c r="J57" s="241"/>
      <c r="K57" s="235"/>
      <c r="L57" s="242"/>
      <c r="M57" s="241"/>
      <c r="N57" s="235"/>
      <c r="O57" s="370">
        <f t="shared" si="4"/>
        <v>-260</v>
      </c>
      <c r="P57" s="393">
        <f t="shared" si="4"/>
        <v>586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34826</v>
      </c>
      <c r="G58" s="269">
        <f>+ROUND(+SUM(G53:G57),0)</f>
        <v>189667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34826</v>
      </c>
      <c r="P58" s="391">
        <f>+ROUND(+SUM(P53:P57),0)</f>
        <v>189667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792158</v>
      </c>
      <c r="G71" s="267">
        <v>7294593</v>
      </c>
      <c r="H71" s="15"/>
      <c r="I71" s="268"/>
      <c r="J71" s="267"/>
      <c r="K71" s="235"/>
      <c r="L71" s="268"/>
      <c r="M71" s="267"/>
      <c r="N71" s="235"/>
      <c r="O71" s="375">
        <f>+ROUND(+F71+I71+L71,0)</f>
        <v>792158</v>
      </c>
      <c r="P71" s="368">
        <f>+ROUND(+G71+J71+M71,0)</f>
        <v>7294593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792158</v>
      </c>
      <c r="G73" s="269">
        <f>+ROUND(+SUM(G71:G72),0)</f>
        <v>7294593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792158</v>
      </c>
      <c r="P73" s="391">
        <f>+ROUND(+SUM(P71:P72),0)</f>
        <v>7294593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826984</v>
      </c>
      <c r="G79" s="280">
        <f>+ROUND(G58+G65+G69+G73+G77,0)</f>
        <v>7484260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826984</v>
      </c>
      <c r="P79" s="401">
        <f>+ROUND(P58+P65+P69+P73+P77,0)</f>
        <v>7484260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1517</v>
      </c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1517</v>
      </c>
      <c r="P81" s="387">
        <f>+ROUND(+G81+J81+M81,0)</f>
        <v>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1517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1517</v>
      </c>
      <c r="P83" s="396">
        <f>+ROUND(P81+P82,0)</f>
        <v>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1849579</v>
      </c>
      <c r="G85" s="299">
        <f>+ROUND(G50,0)-ROUND(G79,0)+ROUND(G83,0)</f>
        <v>-1020393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1849579</v>
      </c>
      <c r="P85" s="398">
        <f>+ROUND(P50,0)-ROUND(P79,0)+ROUND(P83,0)</f>
        <v>-1020393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-1849579</v>
      </c>
      <c r="G86" s="301">
        <f>+ROUND(G103,0)+ROUND(G122,0)+ROUND(G129,0)-ROUND(G134,0)</f>
        <v>1020393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-1849579</v>
      </c>
      <c r="P86" s="400">
        <f>+ROUND(P103,0)+ROUND(P122,0)+ROUND(P129,0)-ROUND(P134,0)</f>
        <v>1020393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>
        <v>49068946</v>
      </c>
      <c r="G99" s="237">
        <v>50077535</v>
      </c>
      <c r="H99" s="15"/>
      <c r="I99" s="238"/>
      <c r="J99" s="237"/>
      <c r="K99" s="235"/>
      <c r="L99" s="238"/>
      <c r="M99" s="237"/>
      <c r="N99" s="235"/>
      <c r="O99" s="374">
        <f>+ROUND(+F99+I99+L99,0)</f>
        <v>49068946</v>
      </c>
      <c r="P99" s="387">
        <f>+ROUND(+G99+J99+M99,0)</f>
        <v>50077535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>
        <v>21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21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49068946</v>
      </c>
      <c r="G101" s="243">
        <f>+ROUND(+SUM(G99:G100),0)</f>
        <v>50077556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49068946</v>
      </c>
      <c r="P101" s="372">
        <f>+ROUND(+SUM(P99:P100),0)</f>
        <v>50077556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49068946</v>
      </c>
      <c r="G103" s="265">
        <f>+ROUND(G91+G97+G101,0)</f>
        <v>50077556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49068946</v>
      </c>
      <c r="P103" s="389">
        <f>+ROUND(P91+P97+P101,0)</f>
        <v>50077556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1204</v>
      </c>
      <c r="G125" s="241">
        <v>4075</v>
      </c>
      <c r="H125" s="15"/>
      <c r="I125" s="242"/>
      <c r="J125" s="241"/>
      <c r="K125" s="235"/>
      <c r="L125" s="242"/>
      <c r="M125" s="241"/>
      <c r="N125" s="235"/>
      <c r="O125" s="370">
        <f t="shared" si="7"/>
        <v>1204</v>
      </c>
      <c r="P125" s="393">
        <f t="shared" si="7"/>
        <v>4075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-6325</v>
      </c>
      <c r="G126" s="241">
        <v>966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-6325</v>
      </c>
      <c r="P126" s="393">
        <f t="shared" si="7"/>
        <v>966</v>
      </c>
      <c r="Q126" s="31"/>
      <c r="R126" s="637" t="s">
        <v>298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292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-5121</v>
      </c>
      <c r="G129" s="278">
        <f>+ROUND(+SUM(G124,G125,G126,G128),0)</f>
        <v>5041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-5121</v>
      </c>
      <c r="P129" s="396">
        <f>+ROUND(+SUM(P124,P125,P126,P128),0)</f>
        <v>5041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61239791</v>
      </c>
      <c r="G131" s="237">
        <v>12177587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61239791</v>
      </c>
      <c r="P131" s="387">
        <f t="shared" si="8"/>
        <v>12177587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>
        <v>-112153195</v>
      </c>
      <c r="G132" s="241">
        <v>-61239791</v>
      </c>
      <c r="H132" s="15"/>
      <c r="I132" s="242"/>
      <c r="J132" s="241"/>
      <c r="K132" s="235"/>
      <c r="L132" s="242"/>
      <c r="M132" s="241"/>
      <c r="N132" s="235"/>
      <c r="O132" s="370">
        <f t="shared" si="8"/>
        <v>-112153195</v>
      </c>
      <c r="P132" s="393">
        <f t="shared" si="8"/>
        <v>-61239791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/>
      <c r="G133" s="241"/>
      <c r="H133" s="15"/>
      <c r="I133" s="242"/>
      <c r="J133" s="241"/>
      <c r="K133" s="235"/>
      <c r="L133" s="242"/>
      <c r="M133" s="241"/>
      <c r="N133" s="235"/>
      <c r="O133" s="370">
        <f t="shared" si="8"/>
        <v>0</v>
      </c>
      <c r="P133" s="393">
        <f t="shared" si="8"/>
        <v>0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50913404</v>
      </c>
      <c r="G134" s="283">
        <f>+ROUND(+G133-G131-G132,0)</f>
        <v>49062204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50913404</v>
      </c>
      <c r="P134" s="404">
        <f>+ROUND(+P133-P131-P132,0)</f>
        <v>49062204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24042019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356</v>
      </c>
      <c r="G143" s="576"/>
      <c r="H143" s="576"/>
      <c r="I143" s="577"/>
      <c r="J143" s="354"/>
      <c r="K143" s="16"/>
      <c r="L143" s="354" t="s">
        <v>240</v>
      </c>
      <c r="M143" s="575" t="s">
        <v>357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НОИ-ФОНД ГВРС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1210825120299</v>
      </c>
      <c r="J1" s="664"/>
      <c r="K1" s="448"/>
      <c r="L1" s="449" t="s">
        <v>253</v>
      </c>
      <c r="M1" s="450">
        <f>+'Cash-Flow-2019-Leva'!M1</f>
        <v>5592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[Седалище и адрес]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 t="str">
        <f>+'Cash-Flow-2019-Leva'!M3:P3</f>
        <v>Vanya.Borisova@nssi.bg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НОИ-ФОНД ГВРС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5.047</v>
      </c>
      <c r="G15" s="263">
        <f>+'Cash-Flow-2019-Leva'!G15/1000</f>
        <v>34.759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5.047</v>
      </c>
      <c r="P15" s="387">
        <f aca="true" t="shared" si="1" ref="P15:P24">+G15+J15+M15</f>
        <v>34.759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1.597</v>
      </c>
      <c r="G18" s="263">
        <f>+'Cash-Flow-2019-Leva'!G18/1000</f>
        <v>4.341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1.597</v>
      </c>
      <c r="P18" s="387">
        <f t="shared" si="1"/>
        <v>4.341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2668.202</v>
      </c>
      <c r="G22" s="286">
        <f>+'Cash-Flow-2019-Leva'!G22/1000</f>
        <v>6423.667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2668.202</v>
      </c>
      <c r="P22" s="421">
        <f t="shared" si="1"/>
        <v>6423.667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0.2</v>
      </c>
      <c r="G24" s="275">
        <f>+'Cash-Flow-2019-Leva'!G24/1000</f>
        <v>1.1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0.2</v>
      </c>
      <c r="P24" s="393">
        <f t="shared" si="1"/>
        <v>1.1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2675.046</v>
      </c>
      <c r="G25" s="243">
        <f>+SUM(G15,G16,G18,G19,G20,G21,G22,G23,G24)</f>
        <v>6463.867000000001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2675.046</v>
      </c>
      <c r="P25" s="372">
        <f>+SUM(P15,P16,P18,P19,P20,P21,P22,P23,P24)</f>
        <v>6463.867000000001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2675.046</v>
      </c>
      <c r="G50" s="265">
        <f>+G25+G30+G37+G42+G48</f>
        <v>6463.867000000001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2675.046</v>
      </c>
      <c r="P50" s="389">
        <f>+P25+P30+P37+P42+P48</f>
        <v>6463.867000000001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6.815</v>
      </c>
      <c r="G53" s="236">
        <f>+'Cash-Flow-2019-Leva'!G53/1000</f>
        <v>101.551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6.815</v>
      </c>
      <c r="P53" s="368">
        <f t="shared" si="5"/>
        <v>101.551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9.814</v>
      </c>
      <c r="G54" s="275">
        <f>+'Cash-Flow-2019-Leva'!G54/1000</f>
        <v>10.031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9.814</v>
      </c>
      <c r="P54" s="393">
        <f t="shared" si="5"/>
        <v>10.031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0.28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0.28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18.177</v>
      </c>
      <c r="G56" s="275">
        <f>+'Cash-Flow-2019-Leva'!G56/1000</f>
        <v>77.499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18.177</v>
      </c>
      <c r="P56" s="393">
        <f t="shared" si="5"/>
        <v>77.499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-0.26</v>
      </c>
      <c r="G57" s="275">
        <f>+'Cash-Flow-2019-Leva'!G57/1000</f>
        <v>0.586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-0.26</v>
      </c>
      <c r="P57" s="393">
        <f t="shared" si="5"/>
        <v>0.586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34.826</v>
      </c>
      <c r="G58" s="269">
        <f>+SUM(G53:G57)</f>
        <v>189.66700000000003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34.826</v>
      </c>
      <c r="P58" s="391">
        <f>+SUM(P53:P57)</f>
        <v>189.66700000000003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792.158</v>
      </c>
      <c r="G71" s="236">
        <f>+'Cash-Flow-2019-Leva'!G71/1000</f>
        <v>7294.593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792.158</v>
      </c>
      <c r="P71" s="368">
        <f>+G71+J71+M71</f>
        <v>7294.593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792.158</v>
      </c>
      <c r="G73" s="269">
        <f>+SUM(G71:G72)</f>
        <v>7294.593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792.158</v>
      </c>
      <c r="P73" s="391">
        <f>+SUM(P71:P72)</f>
        <v>7294.593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826.984</v>
      </c>
      <c r="G79" s="280">
        <f>+G58+G65+G69+G73+G77</f>
        <v>7484.26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826.984</v>
      </c>
      <c r="P79" s="401">
        <f>+P58+P65+P69+P73+P77</f>
        <v>7484.26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1.517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1.517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1.517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1.517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1849.579</v>
      </c>
      <c r="G85" s="299">
        <f>+G50-G79+G83</f>
        <v>-1020.3929999999991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1849.579</v>
      </c>
      <c r="P85" s="398">
        <f>+P50-P79+P83</f>
        <v>-1020.3929999999991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-1849.5790000000052</v>
      </c>
      <c r="G86" s="301">
        <f>+G103+G122+G129-G134</f>
        <v>1020.3930000000037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-1849.5790000000052</v>
      </c>
      <c r="P86" s="400">
        <f>+P103+P122+P129-P134</f>
        <v>1020.3930000000037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49068.946</v>
      </c>
      <c r="G99" s="263">
        <f>+'Cash-Flow-2019-Leva'!G99/1000</f>
        <v>50077.535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49068.946</v>
      </c>
      <c r="P99" s="387">
        <f>+G99+J99+M99</f>
        <v>50077.535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0.021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0.021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49068.946</v>
      </c>
      <c r="G101" s="243">
        <f>+SUM(G99:G100)</f>
        <v>50077.556000000004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49068.946</v>
      </c>
      <c r="P101" s="372">
        <f>+SUM(P99:P100)</f>
        <v>50077.556000000004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49068.946</v>
      </c>
      <c r="G103" s="265">
        <f>+G91+G97+G101</f>
        <v>50077.556000000004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49068.946</v>
      </c>
      <c r="P103" s="389">
        <f>+P91+P97+P101</f>
        <v>50077.556000000004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1.204</v>
      </c>
      <c r="G125" s="275">
        <f>+'Cash-Flow-2019-Leva'!G125/1000</f>
        <v>4.075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1.204</v>
      </c>
      <c r="P125" s="393">
        <f t="shared" si="8"/>
        <v>4.075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-6.325</v>
      </c>
      <c r="G126" s="275">
        <f>+'Cash-Flow-2019-Leva'!G126/1000</f>
        <v>0.966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-6.325</v>
      </c>
      <c r="P126" s="393">
        <f t="shared" si="8"/>
        <v>0.966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-5.121</v>
      </c>
      <c r="G129" s="278">
        <f>+SUM(G124,G125,G126,G128)</f>
        <v>5.041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-5.121</v>
      </c>
      <c r="P129" s="396">
        <f>+SUM(P124,P125,P126,P128)</f>
        <v>5.041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61239.791</v>
      </c>
      <c r="G131" s="263">
        <f>+'Cash-Flow-2019-Leva'!G131/1000</f>
        <v>12177.587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61239.791</v>
      </c>
      <c r="P131" s="387">
        <f t="shared" si="9"/>
        <v>12177.587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-112153.195</v>
      </c>
      <c r="G132" s="275">
        <f>+'Cash-Flow-2019-Leva'!G132/1000</f>
        <v>-61239.791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-112153.195</v>
      </c>
      <c r="P132" s="393">
        <f t="shared" si="9"/>
        <v>-61239.791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0</v>
      </c>
      <c r="G133" s="275">
        <f>+'Cash-Flow-2019-Leva'!G133/1000</f>
        <v>0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0</v>
      </c>
      <c r="P133" s="393">
        <f t="shared" si="9"/>
        <v>0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50913.40400000001</v>
      </c>
      <c r="G134" s="283">
        <f>+G133-G131-G132</f>
        <v>49062.204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50913.40400000001</v>
      </c>
      <c r="P134" s="404">
        <f>+P133-P131-P132</f>
        <v>49062.204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24042019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Svetla Jordanova</cp:lastModifiedBy>
  <cp:lastPrinted>2018-09-27T09:28:48Z</cp:lastPrinted>
  <dcterms:created xsi:type="dcterms:W3CDTF">2015-12-01T07:17:04Z</dcterms:created>
  <dcterms:modified xsi:type="dcterms:W3CDTF">2019-04-23T09:46:46Z</dcterms:modified>
  <cp:category/>
  <cp:version/>
  <cp:contentType/>
  <cp:contentStatus/>
</cp:coreProperties>
</file>