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<sst xmlns="http://schemas.openxmlformats.org/spreadsheetml/2006/main" count="529" uniqueCount="358">
  <si>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</si>
  <si>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</si>
  <si>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</si>
  <si>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</si>
  <si>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</si>
  <si>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</si>
  <si>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</si>
  <si>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</si>
  <si>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</si>
  <si>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</si>
  <si>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</si>
  <si>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</si>
  <si>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</si>
  <si>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</si>
  <si>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</si>
  <si>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</si>
  <si>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</si>
  <si>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</si>
  <si>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</si>
  <si>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</si>
  <si>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</si>
  <si>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</si>
  <si>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</si>
  <si>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</si>
  <si>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</si>
  <si>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</si>
  <si>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</si>
  <si>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</si>
  <si>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</si>
  <si>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</si>
  <si>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</si>
  <si>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</si>
  <si>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</si>
  <si>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</si>
  <si>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</si>
  <si>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</si>
  <si>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</si>
  <si>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</si>
  <si>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</si>
  <si>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</si>
  <si>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</si>
  <si>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</si>
  <si>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</si>
  <si>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</si>
  <si>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</si>
  <si>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</si>
  <si>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</si>
  <si>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</si>
  <si>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</si>
  <si>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</si>
  <si>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</si>
  <si>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</si>
  <si>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</si>
  <si>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</si>
  <si>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</si>
  <si>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</si>
  <si>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</si>
  <si>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</si>
  <si>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</si>
  <si>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</si>
  <si>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</si>
  <si>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</si>
  <si>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</si>
  <si>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</si>
  <si>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</si>
  <si>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</si>
  <si>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</si>
  <si>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</si>
  <si>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</si>
  <si>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</si>
  <si>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</si>
  <si>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</si>
  <si>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</si>
  <si>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</si>
  <si>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</si>
  <si>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</si>
  <si>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</si>
  <si>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</si>
  <si>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</si>
  <si>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</si>
  <si>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</si>
  <si>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</si>
  <si>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</si>
  <si>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</si>
  <si>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</si>
  <si>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</si>
  <si>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</si>
  <si>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</si>
  <si>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</si>
  <si>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</si>
  <si>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</si>
  <si>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</si>
  <si>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</si>
  <si>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</si>
  <si>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</si>
  <si>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</si>
  <si>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</si>
  <si>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</si>
  <si>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</si>
  <si>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</si>
  <si>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</si>
  <si>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</si>
  <si>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</si>
  <si>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</si>
  <si>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</si>
  <si>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</si>
  <si>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</si>
  <si>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</si>
  <si>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</si>
  <si>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</si>
  <si>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</si>
  <si>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</si>
  <si>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</si>
  <si>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</si>
  <si>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</si>
  <si>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</si>
  <si>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</si>
  <si>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</si>
  <si>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</si>
  <si>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</si>
  <si>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</si>
  <si>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</si>
  <si>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</si>
  <si>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</si>
  <si>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</si>
  <si>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</si>
  <si>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</si>
  <si>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</si>
  <si>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</si>
  <si>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</si>
  <si>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</si>
  <si>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</si>
  <si>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</si>
  <si>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</si>
  <si>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</si>
  <si>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</si>
  <si>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</si>
  <si>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</si>
  <si>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</si>
  <si>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</si>
  <si>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</si>
  <si>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</si>
  <si>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</si>
  <si>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</si>
  <si>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</si>
  <si>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</si>
  <si>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</si>
  <si>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</si>
  <si>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</si>
  <si>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</si>
  <si>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</si>
  <si>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</si>
  <si>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</si>
  <si>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</si>
  <si>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</si>
  <si>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</si>
  <si>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</si>
  <si>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</si>
  <si>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</si>
  <si>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</si>
  <si>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</si>
  <si>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</si>
  <si>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</si>
  <si>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</si>
  <si>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</si>
  <si>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</si>
  <si>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</si>
  <si>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</si>
  <si>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</si>
  <si>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</si>
  <si>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</si>
  <si>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</si>
  <si>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</si>
  <si>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</si>
  <si>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</si>
  <si>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</si>
  <si>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</si>
  <si>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</si>
  <si>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</si>
  <si>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</si>
  <si>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</si>
  <si>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</si>
  <si>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</si>
  <si>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</si>
  <si>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</si>
  <si>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</si>
  <si>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</si>
  <si>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</si>
  <si>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</si>
  <si>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</si>
  <si>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</si>
  <si>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</si>
  <si>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</si>
  <si>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</si>
  <si>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</si>
  <si>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</si>
  <si>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</si>
  <si>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</si>
  <si>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</si>
  <si>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</si>
  <si>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</si>
  <si>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</si>
  <si>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</si>
  <si>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</si>
  <si>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</si>
  <si>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</si>
  <si>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</si>
  <si>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</si>
  <si>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</si>
  <si>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</si>
  <si>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</si>
  <si>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</si>
  <si>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</si>
  <si>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</si>
  <si>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</si>
  <si>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</si>
  <si>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</si>
  <si>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</si>
  <si>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</si>
  <si>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</si>
  <si>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</si>
  <si>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</si>
  <si>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</si>
  <si>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</si>
  <si>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</si>
  <si>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</si>
  <si>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</si>
  <si>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</si>
  <si>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</si>
  <si>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</si>
  <si>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</si>
  <si>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</si>
  <si>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</si>
  <si>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</si>
  <si>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</si>
  <si>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</si>
  <si>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</si>
  <si>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</si>
  <si>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</si>
  <si>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</si>
  <si>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</si>
  <si>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</si>
  <si>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</si>
  <si>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</si>
  <si>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</si>
  <si>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</si>
  <si>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</si>
  <si>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</si>
  <si>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</si>
  <si>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</si>
  <si>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</si>
  <si>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</si>
  <si>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</si>
  <si>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</si>
  <si>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</si>
  <si>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</si>
  <si>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</si>
  <si>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</si>
  <si>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</si>
  <si>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</si>
  <si>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</si>
  <si>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</si>
  <si>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</si>
  <si>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</si>
  <si>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</si>
  <si>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</si>
  <si>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</si>
  <si>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</si>
  <si>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</si>
  <si>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</si>
  <si>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</si>
  <si>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</si>
  <si>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</si>
  <si>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</si>
  <si>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</si>
  <si>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</si>
  <si>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</si>
  <si>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</si>
  <si>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</si>
  <si>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</si>
  <si>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</si>
  <si>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</si>
  <si>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</si>
  <si>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</si>
  <si>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</si>
  <si>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</si>
  <si>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</si>
  <si>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</si>
  <si>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</si>
  <si>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</si>
  <si>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</si>
  <si>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</si>
  <si>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</si>
  <si>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</si>
  <si>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</si>
  <si>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</si>
  <si>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</si>
  <si>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</si>
  <si>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</si>
  <si>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</si>
  <si>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</si>
  <si>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</si>
  <si>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</si>
  <si>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</si>
  <si>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</si>
  <si>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</si>
  <si>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</si>
  <si>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</si>
  <si>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</si>
  <si>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</si>
  <si>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</si>
  <si>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</si>
  <si>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</si>
  <si>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</si>
  <si>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</si>
  <si>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</si>
  <si>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</si>
  <si>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</si>
  <si>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</si>
  <si>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</si>
  <si>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</si>
  <si>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</si>
  <si>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</si>
  <si>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</si>
  <si>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</si>
  <si>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</si>
  <si>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</si>
  <si>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</si>
  <si>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</si>
  <si>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</si>
  <si>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</si>
  <si>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</si>
  <si>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</si>
  <si>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</si>
  <si>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</si>
  <si>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</si>
  <si>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</si>
  <si>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</si>
  <si>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</si>
  <si>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</si>
  <si>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</si>
  <si>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</si>
  <si>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</si>
  <si>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</si>
  <si>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</si>
  <si>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</si>
  <si>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</si>
  <si>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</si>
  <si>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</si>
  <si>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</si>
  <si>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</si>
  <si>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</si>
  <si>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</si>
  <si>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</si>
  <si>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НОИ-ФОНД ГВРС</t>
  </si>
  <si>
    <t>Vanya.Borisova@nssi.bg</t>
  </si>
  <si>
    <t>Ваня Борисова</t>
  </si>
  <si>
    <t>Димитър Недялков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</si>
</sst>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66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66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64" fontId="57" fillId="50" borderId="30" xfId="39" applyNumberFormat="1" applyFont="1" applyFill="1" applyBorder="1" applyAlignment="1" applyProtection="1">
      <alignment horizontal="center" vertical="center"/>
      <protection locked="0"/>
    </xf>
    <xf numFmtId="166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64" fontId="164" fillId="33" borderId="30" xfId="39" applyNumberFormat="1" applyFont="1" applyFill="1" applyBorder="1" applyAlignment="1" applyProtection="1">
      <alignment horizontal="center" vertical="center"/>
      <protection/>
    </xf>
    <xf numFmtId="164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66" fillId="26" borderId="119" xfId="0" applyNumberFormat="1" applyFont="1" applyFill="1" applyBorder="1" applyAlignment="1" applyProtection="1" quotePrefix="1">
      <alignment/>
      <protection/>
    </xf>
    <xf numFmtId="166" fontId="167" fillId="26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4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26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33" applyNumberFormat="1" applyFont="1" applyFill="1" applyBorder="1" applyAlignment="1">
      <alignment horizontal="center"/>
      <protection/>
    </xf>
    <xf numFmtId="171" fontId="66" fillId="53" borderId="0" xfId="33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68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4" fillId="33" borderId="0" xfId="33" applyNumberFormat="1" applyFont="1" applyFill="1" applyBorder="1" applyAlignment="1">
      <alignment/>
      <protection/>
    </xf>
    <xf numFmtId="171" fontId="24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67" fillId="26" borderId="72" xfId="33" applyNumberFormat="1" applyFont="1" applyFill="1" applyBorder="1" applyAlignment="1">
      <alignment horizontal="center"/>
      <protection/>
    </xf>
    <xf numFmtId="170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4" fillId="26" borderId="20" xfId="33" applyNumberFormat="1" applyFont="1" applyFill="1" applyBorder="1">
      <alignment/>
      <protection/>
    </xf>
    <xf numFmtId="168" fontId="24" fillId="26" borderId="20" xfId="33" applyNumberFormat="1" applyFont="1" applyFill="1" applyBorder="1" applyAlignment="1">
      <alignment horizontal="left"/>
      <protection/>
    </xf>
    <xf numFmtId="185" fontId="141" fillId="40" borderId="27" xfId="34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center"/>
      <protection/>
    </xf>
    <xf numFmtId="169" fontId="24" fillId="53" borderId="0" xfId="33" applyNumberFormat="1" applyFont="1" applyFill="1" applyBorder="1" applyAlignment="1">
      <alignment horizontal="center"/>
      <protection/>
    </xf>
    <xf numFmtId="169" fontId="24" fillId="33" borderId="0" xfId="33" applyNumberFormat="1" applyFont="1" applyFill="1" applyBorder="1" applyAlignment="1">
      <alignment horizontal="center"/>
      <protection/>
    </xf>
    <xf numFmtId="168" fontId="24" fillId="26" borderId="0" xfId="33" applyNumberFormat="1" applyFont="1" applyFill="1" applyBorder="1" applyAlignment="1">
      <alignment horizontal="center"/>
      <protection/>
    </xf>
    <xf numFmtId="170" fontId="24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4" fillId="33" borderId="0" xfId="33" applyNumberFormat="1" applyFont="1" applyFill="1" applyBorder="1" applyAlignment="1">
      <alignment horizontal="center"/>
      <protection/>
    </xf>
    <xf numFmtId="170" fontId="24" fillId="38" borderId="0" xfId="33" applyNumberFormat="1" applyFont="1" applyFill="1" applyBorder="1" applyAlignment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178" fontId="174" fillId="46" borderId="31" xfId="33" applyNumberFormat="1" applyFont="1" applyFill="1" applyBorder="1" applyAlignment="1" applyProtection="1">
      <alignment horizontal="center" vertical="center"/>
      <protection locked="0"/>
    </xf>
    <xf numFmtId="178" fontId="174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0" fontId="175" fillId="26" borderId="0" xfId="36" applyFont="1" applyFill="1" applyBorder="1" applyAlignment="1" applyProtection="1">
      <alignment horizontal="center"/>
      <protection/>
    </xf>
    <xf numFmtId="177" fontId="150" fillId="33" borderId="31" xfId="36" applyNumberFormat="1" applyFont="1" applyFill="1" applyBorder="1" applyAlignment="1" applyProtection="1">
      <alignment horizontal="center"/>
      <protection/>
    </xf>
    <xf numFmtId="177" fontId="150" fillId="33" borderId="46" xfId="36" applyNumberFormat="1" applyFont="1" applyFill="1" applyBorder="1" applyAlignment="1" applyProtection="1">
      <alignment horizontal="center"/>
      <protection/>
    </xf>
    <xf numFmtId="177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77" fontId="176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179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7" fillId="36" borderId="46" xfId="70" applyFont="1" applyFill="1" applyBorder="1" applyAlignment="1" applyProtection="1">
      <alignment horizontal="center" vertical="center"/>
      <protection locked="0"/>
    </xf>
    <xf numFmtId="0" fontId="177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8" fillId="33" borderId="46" xfId="70" applyNumberFormat="1" applyFont="1" applyFill="1" applyBorder="1" applyAlignment="1" applyProtection="1">
      <alignment horizontal="center" vertical="center"/>
      <protection locked="0"/>
    </xf>
    <xf numFmtId="38" fontId="178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 quotePrefix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9" fillId="26" borderId="48" xfId="33" applyFont="1" applyFill="1" applyBorder="1" applyAlignment="1" applyProtection="1" quotePrefix="1">
      <alignment horizontal="center"/>
      <protection/>
    </xf>
    <xf numFmtId="0" fontId="180" fillId="38" borderId="29" xfId="39" applyFont="1" applyFill="1" applyBorder="1" applyAlignment="1" applyProtection="1">
      <alignment horizontal="center" vertical="center" wrapText="1"/>
      <protection locked="0"/>
    </xf>
    <xf numFmtId="0" fontId="180" fillId="38" borderId="20" xfId="39" applyFont="1" applyFill="1" applyBorder="1" applyAlignment="1" applyProtection="1">
      <alignment horizontal="center" vertical="center" wrapText="1"/>
      <protection locked="0"/>
    </xf>
    <xf numFmtId="0" fontId="180" fillId="38" borderId="21" xfId="39" applyFont="1" applyFill="1" applyBorder="1" applyAlignment="1" applyProtection="1">
      <alignment horizontal="center" vertical="center" wrapText="1"/>
      <protection locked="0"/>
    </xf>
    <xf numFmtId="0" fontId="181" fillId="33" borderId="64" xfId="37" applyFont="1" applyFill="1" applyBorder="1" applyAlignment="1" applyProtection="1">
      <alignment horizontal="center"/>
      <protection/>
    </xf>
    <xf numFmtId="0" fontId="181" fillId="33" borderId="0" xfId="37" applyFont="1" applyFill="1" applyBorder="1" applyAlignment="1" applyProtection="1">
      <alignment horizontal="center"/>
      <protection/>
    </xf>
    <xf numFmtId="0" fontId="181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76" fillId="33" borderId="0" xfId="36" applyNumberFormat="1" applyFont="1" applyFill="1" applyBorder="1" applyAlignment="1" applyProtection="1">
      <alignment horizontal="center"/>
      <protection/>
    </xf>
    <xf numFmtId="0" fontId="179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81" fillId="33" borderId="119" xfId="37" applyFont="1" applyFill="1" applyBorder="1" applyAlignment="1" applyProtection="1">
      <alignment horizontal="center"/>
      <protection/>
    </xf>
    <xf numFmtId="0" fontId="181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74" fillId="46" borderId="31" xfId="33" applyNumberFormat="1" applyFont="1" applyFill="1" applyBorder="1" applyAlignment="1" applyProtection="1">
      <alignment horizontal="center" vertical="center"/>
      <protection/>
    </xf>
    <xf numFmtId="178" fontId="174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55">
        <f>+H7-1</f>
        <v>2018</v>
      </c>
      <c r="H37" s="555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4" sqref="F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 t="s">
        <v>354</v>
      </c>
      <c r="C1" s="647"/>
      <c r="D1" s="647"/>
      <c r="E1" s="647"/>
      <c r="F1" s="648"/>
      <c r="G1" s="442" t="s">
        <v>252</v>
      </c>
      <c r="H1" s="435"/>
      <c r="I1" s="638">
        <v>1210825120299</v>
      </c>
      <c r="J1" s="639"/>
      <c r="K1" s="436"/>
      <c r="L1" s="444" t="s">
        <v>253</v>
      </c>
      <c r="M1" s="440">
        <v>5592</v>
      </c>
      <c r="N1" s="436"/>
      <c r="O1" s="444" t="s">
        <v>245</v>
      </c>
      <c r="P1" s="463"/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258</v>
      </c>
      <c r="C3" s="654"/>
      <c r="D3" s="654"/>
      <c r="E3" s="654"/>
      <c r="F3" s="655"/>
      <c r="G3" s="443" t="s">
        <v>244</v>
      </c>
      <c r="H3" s="643"/>
      <c r="I3" s="644"/>
      <c r="J3" s="644"/>
      <c r="K3" s="645"/>
      <c r="L3" s="28" t="s">
        <v>254</v>
      </c>
      <c r="M3" s="640" t="s">
        <v>355</v>
      </c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 t="str">
        <f>+B1</f>
        <v>НОИ-ФОНД ГВРС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305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30.06.2019 г.</v>
      </c>
      <c r="G11" s="405">
        <f>+P5-1</f>
        <v>2018</v>
      </c>
      <c r="H11" s="15"/>
      <c r="I11" s="109" t="str">
        <f>+O8</f>
        <v>30.06.2019 г.</v>
      </c>
      <c r="J11" s="406">
        <f>+P5-1</f>
        <v>2018</v>
      </c>
      <c r="K11" s="16"/>
      <c r="L11" s="107" t="str">
        <f>+O8</f>
        <v>30.06.2019 г.</v>
      </c>
      <c r="M11" s="407">
        <f>+P5-1</f>
        <v>2018</v>
      </c>
      <c r="N11" s="16"/>
      <c r="O11" s="362" t="str">
        <f>+O8</f>
        <v>30.06.2019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10283</v>
      </c>
      <c r="G15" s="237">
        <v>34759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10283</v>
      </c>
      <c r="P15" s="387">
        <f t="shared" si="0"/>
        <v>34759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3545</v>
      </c>
      <c r="G18" s="237">
        <v>4341</v>
      </c>
      <c r="H18" s="15"/>
      <c r="I18" s="238"/>
      <c r="J18" s="237"/>
      <c r="K18" s="235"/>
      <c r="L18" s="238"/>
      <c r="M18" s="237"/>
      <c r="N18" s="235"/>
      <c r="O18" s="374">
        <f t="shared" si="0"/>
        <v>3545</v>
      </c>
      <c r="P18" s="387">
        <f t="shared" si="0"/>
        <v>4341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2706048</v>
      </c>
      <c r="G22" s="239">
        <v>6423667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2706048</v>
      </c>
      <c r="P22" s="421">
        <f t="shared" si="0"/>
        <v>6423667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1066</v>
      </c>
      <c r="G24" s="241">
        <v>1100</v>
      </c>
      <c r="H24" s="15"/>
      <c r="I24" s="242"/>
      <c r="J24" s="241"/>
      <c r="K24" s="235"/>
      <c r="L24" s="242"/>
      <c r="M24" s="241"/>
      <c r="N24" s="235"/>
      <c r="O24" s="370">
        <f t="shared" si="0"/>
        <v>1066</v>
      </c>
      <c r="P24" s="393">
        <f t="shared" si="0"/>
        <v>1100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2720942</v>
      </c>
      <c r="G25" s="243">
        <f>+ROUND(+SUM(G15,G16,G18,G19,G20,G21,G22,G23,G24),0)</f>
        <v>6463867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2720942</v>
      </c>
      <c r="P25" s="372">
        <f>+ROUND(+SUM(P15,P16,P18,P19,P20,P21,P22,P23,P24),0)</f>
        <v>6463867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2720942</v>
      </c>
      <c r="G50" s="265">
        <f>+ROUND(G25+G30+G37+G42+G48,0)</f>
        <v>6463867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2720942</v>
      </c>
      <c r="P50" s="389">
        <f>+ROUND(P25+P30+P37+P42+P48,0)</f>
        <v>6463867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47615</v>
      </c>
      <c r="G53" s="267">
        <v>101551</v>
      </c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47615</v>
      </c>
      <c r="P53" s="368">
        <f t="shared" si="4"/>
        <v>101551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24236</v>
      </c>
      <c r="G54" s="241">
        <v>10031</v>
      </c>
      <c r="H54" s="15"/>
      <c r="I54" s="242"/>
      <c r="J54" s="241"/>
      <c r="K54" s="235"/>
      <c r="L54" s="242"/>
      <c r="M54" s="241"/>
      <c r="N54" s="235"/>
      <c r="O54" s="370">
        <f t="shared" si="4"/>
        <v>24236</v>
      </c>
      <c r="P54" s="393">
        <f t="shared" si="4"/>
        <v>10031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744</v>
      </c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744</v>
      </c>
      <c r="P55" s="393">
        <f t="shared" si="4"/>
        <v>0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37088</v>
      </c>
      <c r="G56" s="241">
        <v>77499</v>
      </c>
      <c r="H56" s="15"/>
      <c r="I56" s="242"/>
      <c r="J56" s="241"/>
      <c r="K56" s="235"/>
      <c r="L56" s="242"/>
      <c r="M56" s="241"/>
      <c r="N56" s="235"/>
      <c r="O56" s="370">
        <f t="shared" si="4"/>
        <v>37088</v>
      </c>
      <c r="P56" s="393">
        <f t="shared" si="4"/>
        <v>77499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-10245</v>
      </c>
      <c r="G57" s="241">
        <v>586</v>
      </c>
      <c r="H57" s="15"/>
      <c r="I57" s="242"/>
      <c r="J57" s="241"/>
      <c r="K57" s="235"/>
      <c r="L57" s="242"/>
      <c r="M57" s="241"/>
      <c r="N57" s="235"/>
      <c r="O57" s="370">
        <f t="shared" si="4"/>
        <v>-10245</v>
      </c>
      <c r="P57" s="393">
        <f t="shared" si="4"/>
        <v>586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99438</v>
      </c>
      <c r="G58" s="269">
        <f>+ROUND(+SUM(G53:G57),0)</f>
        <v>189667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99438</v>
      </c>
      <c r="P58" s="391">
        <f>+ROUND(+SUM(P53:P57),0)</f>
        <v>189667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2812973</v>
      </c>
      <c r="G71" s="267">
        <v>7294593</v>
      </c>
      <c r="H71" s="15"/>
      <c r="I71" s="268"/>
      <c r="J71" s="267"/>
      <c r="K71" s="235"/>
      <c r="L71" s="268"/>
      <c r="M71" s="267"/>
      <c r="N71" s="235"/>
      <c r="O71" s="375">
        <f>+ROUND(+F71+I71+L71,0)</f>
        <v>2812973</v>
      </c>
      <c r="P71" s="368">
        <f>+ROUND(+G71+J71+M71,0)</f>
        <v>7294593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2812973</v>
      </c>
      <c r="G73" s="269">
        <f>+ROUND(+SUM(G71:G72),0)</f>
        <v>7294593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2812973</v>
      </c>
      <c r="P73" s="391">
        <f>+ROUND(+SUM(P71:P72),0)</f>
        <v>7294593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2912411</v>
      </c>
      <c r="G79" s="280">
        <f>+ROUND(G58+G65+G69+G73+G77,0)</f>
        <v>7484260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2912411</v>
      </c>
      <c r="P79" s="401">
        <f>+ROUND(P58+P65+P69+P73+P77,0)</f>
        <v>7484260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3122</v>
      </c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3122</v>
      </c>
      <c r="P81" s="387">
        <f>+ROUND(+G81+J81+M81,0)</f>
        <v>0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3122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3122</v>
      </c>
      <c r="P83" s="396">
        <f>+ROUND(P81+P82,0)</f>
        <v>0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-188347</v>
      </c>
      <c r="G85" s="299">
        <f>+ROUND(G50,0)-ROUND(G79,0)+ROUND(G83,0)</f>
        <v>-1020393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-188347</v>
      </c>
      <c r="P85" s="398">
        <f>+ROUND(P50,0)-ROUND(P79,0)+ROUND(P83,0)</f>
        <v>-1020393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188347</v>
      </c>
      <c r="G86" s="301">
        <f>+ROUND(G103,0)+ROUND(G122,0)+ROUND(G129,0)-ROUND(G134,0)</f>
        <v>1020393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188347</v>
      </c>
      <c r="P86" s="400">
        <f>+ROUND(P103,0)+ROUND(P122,0)+ROUND(P129,0)-ROUND(P134,0)</f>
        <v>1020393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20143166</v>
      </c>
      <c r="G99" s="237">
        <v>50077535</v>
      </c>
      <c r="H99" s="15"/>
      <c r="I99" s="238"/>
      <c r="J99" s="237"/>
      <c r="K99" s="235"/>
      <c r="L99" s="238"/>
      <c r="M99" s="237"/>
      <c r="N99" s="235"/>
      <c r="O99" s="374">
        <f>+ROUND(+F99+I99+L99,0)</f>
        <v>20143166</v>
      </c>
      <c r="P99" s="387">
        <f>+ROUND(+G99+J99+M99,0)</f>
        <v>50077535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>
        <v>21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21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20143166</v>
      </c>
      <c r="G101" s="243">
        <f>+ROUND(+SUM(G99:G100),0)</f>
        <v>50077556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20143166</v>
      </c>
      <c r="P101" s="372">
        <f>+ROUND(+SUM(P99:P100),0)</f>
        <v>50077556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20143166</v>
      </c>
      <c r="G103" s="265">
        <f>+ROUND(G91+G97+G101,0)</f>
        <v>50077556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20143166</v>
      </c>
      <c r="P103" s="389">
        <f>+ROUND(P91+P97+P101,0)</f>
        <v>50077556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3044</v>
      </c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3044</v>
      </c>
      <c r="P118" s="368">
        <f>+ROUND(+G118+J118+M118,0)</f>
        <v>0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3044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3044</v>
      </c>
      <c r="P120" s="391">
        <f>+ROUND(+SUM(P118:P119),0)</f>
        <v>0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3044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3044</v>
      </c>
      <c r="P122" s="401">
        <f>+ROUND(P108+P112+P116+P120,0)</f>
        <v>0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1368</v>
      </c>
      <c r="G125" s="241">
        <v>4075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1368</v>
      </c>
      <c r="P125" s="393">
        <f t="shared" si="7"/>
        <v>4075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-6325</v>
      </c>
      <c r="G126" s="241">
        <v>966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-6325</v>
      </c>
      <c r="P126" s="393">
        <f t="shared" si="7"/>
        <v>966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-4957</v>
      </c>
      <c r="G129" s="278">
        <f>+ROUND(+SUM(G124,G125,G126,G128),0)</f>
        <v>5041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-4957</v>
      </c>
      <c r="P129" s="396">
        <f>+ROUND(+SUM(P124,P125,P126,P128),0)</f>
        <v>5041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61239791</v>
      </c>
      <c r="G131" s="237">
        <v>12177587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61239791</v>
      </c>
      <c r="P131" s="387">
        <f t="shared" si="8"/>
        <v>12177587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81192697</v>
      </c>
      <c r="G133" s="241">
        <v>61239791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81192697</v>
      </c>
      <c r="P133" s="393">
        <f t="shared" si="8"/>
        <v>61239791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19952906</v>
      </c>
      <c r="G134" s="283">
        <f>+ROUND(+G133-G131-G132,0)</f>
        <v>49062204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19952906</v>
      </c>
      <c r="P134" s="404">
        <f>+ROUND(+P133-P131-P132,0)</f>
        <v>49062204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24072019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 t="s">
        <v>357</v>
      </c>
      <c r="G143" s="650"/>
      <c r="H143" s="650"/>
      <c r="I143" s="651"/>
      <c r="J143" s="354"/>
      <c r="K143" s="16"/>
      <c r="L143" s="354" t="s">
        <v>240</v>
      </c>
      <c r="M143" s="649" t="s">
        <v>356</v>
      </c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НОИ-ФОНД ГВРС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1210825120299</v>
      </c>
      <c r="J1" s="673"/>
      <c r="K1" s="448"/>
      <c r="L1" s="449" t="s">
        <v>253</v>
      </c>
      <c r="M1" s="450">
        <f>+'Cash-Flow-2019-Leva'!M1</f>
        <v>5592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>
        <f>+'Cash-Flow-2019-Leva'!H3</f>
        <v>0</v>
      </c>
      <c r="I3" s="683"/>
      <c r="J3" s="683"/>
      <c r="K3" s="684"/>
      <c r="L3" s="51" t="s">
        <v>254</v>
      </c>
      <c r="M3" s="685" t="str">
        <f>+'Cash-Flow-2019-Leva'!M3:P3</f>
        <v>Vanya.Borisova@nssi.bg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 t="str">
        <f>+B1</f>
        <v>НОИ-ФОНД ГВРС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30.06.2019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30.06.2019 г.</v>
      </c>
      <c r="G11" s="405">
        <f>+'Cash-Flow-2019-Leva'!G11</f>
        <v>2018</v>
      </c>
      <c r="H11" s="5"/>
      <c r="I11" s="109" t="str">
        <f>+O8</f>
        <v>30.06.2019 г.</v>
      </c>
      <c r="J11" s="406">
        <f>+'Cash-Flow-2019-Leva'!J11</f>
        <v>2018</v>
      </c>
      <c r="K11" s="5"/>
      <c r="L11" s="107" t="str">
        <f>+O8</f>
        <v>30.06.2019 г.</v>
      </c>
      <c r="M11" s="407">
        <f>+'Cash-Flow-2019-Leva'!M11</f>
        <v>2018</v>
      </c>
      <c r="N11" s="475"/>
      <c r="O11" s="362" t="str">
        <f>+O8</f>
        <v>30.06.2019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10.283</v>
      </c>
      <c r="G15" s="263">
        <f>+'Cash-Flow-2019-Leva'!G15/1000</f>
        <v>34.759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10.283</v>
      </c>
      <c r="P15" s="387">
        <f aca="true" t="shared" si="1" ref="P15:P24">+G15+J15+M15</f>
        <v>34.759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3.545</v>
      </c>
      <c r="G18" s="263">
        <f>+'Cash-Flow-2019-Leva'!G18/1000</f>
        <v>4.341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3.545</v>
      </c>
      <c r="P18" s="387">
        <f t="shared" si="1"/>
        <v>4.341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2706.048</v>
      </c>
      <c r="G22" s="286">
        <f>+'Cash-Flow-2019-Leva'!G22/1000</f>
        <v>6423.667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2706.048</v>
      </c>
      <c r="P22" s="421">
        <f t="shared" si="1"/>
        <v>6423.667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1.066</v>
      </c>
      <c r="G24" s="275">
        <f>+'Cash-Flow-2019-Leva'!G24/1000</f>
        <v>1.1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1.066</v>
      </c>
      <c r="P24" s="393">
        <f t="shared" si="1"/>
        <v>1.1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2720.9419999999996</v>
      </c>
      <c r="G25" s="243">
        <f>+SUM(G15,G16,G18,G19,G20,G21,G22,G23,G24)</f>
        <v>6463.867000000001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2720.9419999999996</v>
      </c>
      <c r="P25" s="372">
        <f>+SUM(P15,P16,P18,P19,P20,P21,P22,P23,P24)</f>
        <v>6463.867000000001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2720.9419999999996</v>
      </c>
      <c r="G50" s="265">
        <f>+G25+G30+G37+G42+G48</f>
        <v>6463.867000000001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2720.9419999999996</v>
      </c>
      <c r="P50" s="389">
        <f>+P25+P30+P37+P42+P48</f>
        <v>6463.867000000001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47.615</v>
      </c>
      <c r="G53" s="236">
        <f>+'Cash-Flow-2019-Leva'!G53/1000</f>
        <v>101.551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47.615</v>
      </c>
      <c r="P53" s="368">
        <f t="shared" si="5"/>
        <v>101.551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24.236</v>
      </c>
      <c r="G54" s="275">
        <f>+'Cash-Flow-2019-Leva'!G54/1000</f>
        <v>10.031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24.236</v>
      </c>
      <c r="P54" s="393">
        <f t="shared" si="5"/>
        <v>10.031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0.744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0.744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37.088</v>
      </c>
      <c r="G56" s="275">
        <f>+'Cash-Flow-2019-Leva'!G56/1000</f>
        <v>77.499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37.088</v>
      </c>
      <c r="P56" s="393">
        <f t="shared" si="5"/>
        <v>77.499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-10.245</v>
      </c>
      <c r="G57" s="275">
        <f>+'Cash-Flow-2019-Leva'!G57/1000</f>
        <v>0.586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-10.245</v>
      </c>
      <c r="P57" s="393">
        <f t="shared" si="5"/>
        <v>0.586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99.43799999999999</v>
      </c>
      <c r="G58" s="269">
        <f>+SUM(G53:G57)</f>
        <v>189.66700000000003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99.43799999999999</v>
      </c>
      <c r="P58" s="391">
        <f>+SUM(P53:P57)</f>
        <v>189.66700000000003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2812.973</v>
      </c>
      <c r="G71" s="236">
        <f>+'Cash-Flow-2019-Leva'!G71/1000</f>
        <v>7294.593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2812.973</v>
      </c>
      <c r="P71" s="368">
        <f>+G71+J71+M71</f>
        <v>7294.593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2812.973</v>
      </c>
      <c r="G73" s="269">
        <f>+SUM(G71:G72)</f>
        <v>7294.593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2812.973</v>
      </c>
      <c r="P73" s="391">
        <f>+SUM(P71:P72)</f>
        <v>7294.593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2912.411</v>
      </c>
      <c r="G79" s="280">
        <f>+G58+G65+G69+G73+G77</f>
        <v>7484.26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2912.411</v>
      </c>
      <c r="P79" s="401">
        <f>+P58+P65+P69+P73+P77</f>
        <v>7484.26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3.122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3.122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3.122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3.122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-188.3470000000005</v>
      </c>
      <c r="G85" s="299">
        <f>+G50-G79+G83</f>
        <v>-1020.3929999999991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-188.3470000000005</v>
      </c>
      <c r="P85" s="398">
        <f>+P50-P79+P83</f>
        <v>-1020.3929999999991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188.34700000000157</v>
      </c>
      <c r="G86" s="301">
        <f>+G103+G122+G129-G134</f>
        <v>1020.3930000000037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188.34700000000157</v>
      </c>
      <c r="P86" s="400">
        <f>+P103+P122+P129-P134</f>
        <v>1020.3930000000037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20143.166</v>
      </c>
      <c r="G99" s="263">
        <f>+'Cash-Flow-2019-Leva'!G99/1000</f>
        <v>50077.535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20143.166</v>
      </c>
      <c r="P99" s="387">
        <f>+G99+J99+M99</f>
        <v>50077.535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0.021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0.021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20143.166</v>
      </c>
      <c r="G101" s="243">
        <f>+SUM(G99:G100)</f>
        <v>50077.556000000004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20143.166</v>
      </c>
      <c r="P101" s="372">
        <f>+SUM(P99:P100)</f>
        <v>50077.556000000004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20143.166</v>
      </c>
      <c r="G103" s="265">
        <f>+G91+G97+G101</f>
        <v>50077.556000000004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20143.166</v>
      </c>
      <c r="P103" s="389">
        <f>+P91+P97+P101</f>
        <v>50077.556000000004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3.044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3.044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3.044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3.044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3.044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3.044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1.368</v>
      </c>
      <c r="G125" s="275">
        <f>+'Cash-Flow-2019-Leva'!G125/1000</f>
        <v>4.075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1.368</v>
      </c>
      <c r="P125" s="393">
        <f t="shared" si="8"/>
        <v>4.075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-6.325</v>
      </c>
      <c r="G126" s="275">
        <f>+'Cash-Flow-2019-Leva'!G126/1000</f>
        <v>0.966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-6.325</v>
      </c>
      <c r="P126" s="393">
        <f t="shared" si="8"/>
        <v>0.966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-4.957</v>
      </c>
      <c r="G129" s="278">
        <f>+SUM(G124,G125,G126,G128)</f>
        <v>5.041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-4.957</v>
      </c>
      <c r="P129" s="396">
        <f>+SUM(P124,P125,P126,P128)</f>
        <v>5.041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61239.791</v>
      </c>
      <c r="G131" s="263">
        <f>+'Cash-Flow-2019-Leva'!G131/1000</f>
        <v>12177.587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61239.791</v>
      </c>
      <c r="P131" s="387">
        <f t="shared" si="9"/>
        <v>12177.587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81192.697</v>
      </c>
      <c r="G133" s="275">
        <f>+'Cash-Flow-2019-Leva'!G133/1000</f>
        <v>61239.791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81192.697</v>
      </c>
      <c r="P133" s="393">
        <f t="shared" si="9"/>
        <v>61239.791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19952.906000000003</v>
      </c>
      <c r="G134" s="283">
        <f>+G133-G131-G132</f>
        <v>49062.204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19952.906000000003</v>
      </c>
      <c r="P134" s="404">
        <f>+P133-P131-P132</f>
        <v>49062.204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24072019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Svetla Jordanova</cp:lastModifiedBy>
  <cp:lastPrinted>2018-09-27T09:28:48Z</cp:lastPrinted>
  <dcterms:created xsi:type="dcterms:W3CDTF">2015-12-01T07:17:04Z</dcterms:created>
  <dcterms:modified xsi:type="dcterms:W3CDTF">2019-07-11T10:37:48Z</dcterms:modified>
  <cp:category/>
  <cp:version/>
  <cp:contentType/>
  <cp:contentStatus/>
</cp:coreProperties>
</file>