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786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<sst xmlns="http://schemas.openxmlformats.org/spreadsheetml/2006/main" count="547" uniqueCount="376">
  <si>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</si>
  <si>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</si>
  <si>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</si>
  <si>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</si>
  <si>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</si>
  <si>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</si>
  <si>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</si>
  <si>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</si>
  <si>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</si>
  <si>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</si>
  <si>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</si>
  <si>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</si>
  <si>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</si>
  <si>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</si>
  <si>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</si>
  <si>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</si>
  <si>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</si>
  <si>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</si>
  <si>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</si>
  <si>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</si>
  <si>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</si>
  <si>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</si>
  <si>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</si>
  <si>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</si>
  <si>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</si>
  <si>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</si>
  <si>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</si>
  <si>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</si>
  <si>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</si>
  <si>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</si>
  <si>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</si>
  <si>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</si>
  <si>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</si>
  <si>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</si>
  <si>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</si>
  <si>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</si>
  <si>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</si>
  <si>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</si>
  <si>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</si>
  <si>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</si>
  <si>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</si>
  <si>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</si>
  <si>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</si>
  <si>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</si>
  <si>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</si>
  <si>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</si>
  <si>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</si>
  <si>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</si>
  <si>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</si>
  <si>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</si>
  <si>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</si>
  <si>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</si>
  <si>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</si>
  <si>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</si>
  <si>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</si>
  <si>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</si>
  <si>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</si>
  <si>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</si>
  <si>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</si>
  <si>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</si>
  <si>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</si>
  <si>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</si>
  <si>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</si>
  <si>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</si>
  <si>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</si>
  <si>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</si>
  <si>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</si>
  <si>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</si>
  <si>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</si>
  <si>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</si>
  <si>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</si>
  <si>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</si>
  <si>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</si>
  <si>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</si>
  <si>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</si>
  <si>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</si>
  <si>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</si>
  <si>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</si>
  <si>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</si>
  <si>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</si>
  <si>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</si>
  <si>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</si>
  <si>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</si>
  <si>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</si>
  <si>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</si>
  <si>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</si>
  <si>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</si>
  <si>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</si>
  <si>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</si>
  <si>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</si>
  <si>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</si>
  <si>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</si>
  <si>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</si>
  <si>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</si>
  <si>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</si>
  <si>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</si>
  <si>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</si>
  <si>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</si>
  <si>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</si>
  <si>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</si>
  <si>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</si>
  <si>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</si>
  <si>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</si>
  <si>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</si>
  <si>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</si>
  <si>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</si>
  <si>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</si>
  <si>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</si>
  <si>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</si>
  <si>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</si>
  <si>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</si>
  <si>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</si>
  <si>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</si>
  <si>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</si>
  <si>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</si>
  <si>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</si>
  <si>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</si>
  <si>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</si>
  <si>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</si>
  <si>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</si>
  <si>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</si>
  <si>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</si>
  <si>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</si>
  <si>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</si>
  <si>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</si>
  <si>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</si>
  <si>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</si>
  <si>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</si>
  <si>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</si>
  <si>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</si>
  <si>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</si>
  <si>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</si>
  <si>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</si>
  <si>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</si>
  <si>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</si>
  <si>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</si>
  <si>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</si>
  <si>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</si>
  <si>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</si>
  <si>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</si>
  <si>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</si>
  <si>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</si>
  <si>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</si>
  <si>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</si>
  <si>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</si>
  <si>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</si>
  <si>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</si>
  <si>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</si>
  <si>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</si>
  <si>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</si>
  <si>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</si>
  <si>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</si>
  <si>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</si>
  <si>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</si>
  <si>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</si>
  <si>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</si>
  <si>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</si>
  <si>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</si>
  <si>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</si>
  <si>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</si>
  <si>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</si>
  <si>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</si>
  <si>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</si>
  <si>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</si>
  <si>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</si>
  <si>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</si>
  <si>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</si>
  <si>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</si>
  <si>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</si>
  <si>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</si>
  <si>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</si>
  <si>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</si>
  <si>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</si>
  <si>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</si>
  <si>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</si>
  <si>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</si>
  <si>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</si>
  <si>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</si>
  <si>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</si>
  <si>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</si>
  <si>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</si>
  <si>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</si>
  <si>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</si>
  <si>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</si>
  <si>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</si>
  <si>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</si>
  <si>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</si>
  <si>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</si>
  <si>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</si>
  <si>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</si>
  <si>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</si>
  <si>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</si>
  <si>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</si>
  <si>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</si>
  <si>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</si>
  <si>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</si>
  <si>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</si>
  <si>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</si>
  <si>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</si>
  <si>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</si>
  <si>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</si>
  <si>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</si>
  <si>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</si>
  <si>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</si>
  <si>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</si>
  <si>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</si>
  <si>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</si>
  <si>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</si>
  <si>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</si>
  <si>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</si>
  <si>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</si>
  <si>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</si>
  <si>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</si>
  <si>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</si>
  <si>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</si>
  <si>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</si>
  <si>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</si>
  <si>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</si>
  <si>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</si>
  <si>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</si>
  <si>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</si>
  <si>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</si>
  <si>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</si>
  <si>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</si>
  <si>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</si>
  <si>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</si>
  <si>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</si>
  <si>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</si>
  <si>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</si>
  <si>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</si>
  <si>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</si>
  <si>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</si>
  <si>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</si>
  <si>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</si>
  <si>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</si>
  <si>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</si>
  <si>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</si>
  <si>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</si>
  <si>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</si>
  <si>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</si>
  <si>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</si>
  <si>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</si>
  <si>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</si>
  <si>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</si>
  <si>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</si>
  <si>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</si>
  <si>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</si>
  <si>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</si>
  <si>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</si>
  <si>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</si>
  <si>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</si>
  <si>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</si>
  <si>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</si>
  <si>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</si>
  <si>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</si>
  <si>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</si>
  <si>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</si>
  <si>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</si>
  <si>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</si>
  <si>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</si>
  <si>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</si>
  <si>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</si>
  <si>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</si>
  <si>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</si>
  <si>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</si>
  <si>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</si>
  <si>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</si>
  <si>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</si>
  <si>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</si>
  <si>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</si>
  <si>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</si>
  <si>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</si>
  <si>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</si>
  <si>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</si>
  <si>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</si>
  <si>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</si>
  <si>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</si>
  <si>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</si>
  <si>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</si>
  <si>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</si>
  <si>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</si>
  <si>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</si>
  <si>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</si>
  <si>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</si>
  <si>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</si>
  <si>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</si>
  <si>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</si>
  <si>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</si>
  <si>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</si>
  <si>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</si>
  <si>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</si>
  <si>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</si>
  <si>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</si>
  <si>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</si>
  <si>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</si>
  <si>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</si>
  <si>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</si>
  <si>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</si>
  <si>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</si>
  <si>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</si>
  <si>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</si>
  <si>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</si>
  <si>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</si>
  <si>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</si>
  <si>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</si>
  <si>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</si>
  <si>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</si>
  <si>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</si>
  <si>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</si>
  <si>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</si>
  <si>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</si>
  <si>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</si>
  <si>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</si>
  <si>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</si>
  <si>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</si>
  <si>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</si>
  <si>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</si>
  <si>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</si>
  <si>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</si>
  <si>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</si>
  <si>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</si>
  <si>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</si>
  <si>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</si>
  <si>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</si>
  <si>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</si>
  <si>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</si>
  <si>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</si>
  <si>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</si>
  <si>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</si>
  <si>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</si>
  <si>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</si>
  <si>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</si>
  <si>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</si>
  <si>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</si>
  <si>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</si>
  <si>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</si>
  <si>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</si>
  <si>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</si>
  <si>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</si>
  <si>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</si>
  <si>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</si>
  <si>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</si>
  <si>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</si>
  <si>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</si>
  <si>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</si>
  <si>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</si>
  <si>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</si>
  <si>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</si>
  <si>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</si>
  <si>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</si>
  <si>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</si>
  <si>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</si>
  <si>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</si>
  <si>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</si>
  <si>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</si>
  <si>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</si>
  <si>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</si>
  <si>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</si>
  <si>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</si>
  <si>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</si>
  <si>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</si>
  <si>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</si>
  <si>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</si>
  <si>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</si>
  <si>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</si>
  <si>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</si>
  <si>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</si>
  <si>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</si>
  <si>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</si>
  <si>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</si>
  <si>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</si>
  <si>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</si>
  <si>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НОИ - ФОНД ГВРС</t>
  </si>
  <si>
    <t>гр.София 1303, бул.Ал.Стамболийски 62-64</t>
  </si>
  <si>
    <t>Радослав Щербаков</t>
  </si>
  <si>
    <t>Ваня Борисова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</si>
</sst>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177" fontId="25" fillId="33" borderId="0" xfId="33" applyNumberFormat="1" applyFont="1" applyFill="1" applyBorder="1" applyAlignment="1">
      <alignment horizontal="center"/>
      <protection/>
    </xf>
    <xf numFmtId="176" fontId="25" fillId="26" borderId="0" xfId="33" applyNumberFormat="1" applyFont="1" applyFill="1" applyBorder="1" applyAlignment="1">
      <alignment horizontal="center"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5" fillId="38" borderId="0" xfId="33" applyNumberFormat="1" applyFont="1" applyFill="1" applyBorder="1" applyAlignment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0" fillId="36" borderId="47" xfId="70" applyFont="1" applyFill="1" applyBorder="1" applyAlignment="1" applyProtection="1">
      <alignment horizontal="center" vertical="center"/>
      <protection locked="0"/>
    </xf>
    <xf numFmtId="0" fontId="180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1" fillId="33" borderId="47" xfId="70" applyNumberFormat="1" applyFont="1" applyFill="1" applyBorder="1" applyAlignment="1" applyProtection="1">
      <alignment horizontal="center" vertical="center"/>
      <protection locked="0"/>
    </xf>
    <xf numFmtId="38" fontId="181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 quotePrefix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2" fillId="26" borderId="49" xfId="33" applyFont="1" applyFill="1" applyBorder="1" applyAlignment="1" applyProtection="1" quotePrefix="1">
      <alignment horizontal="center"/>
      <protection/>
    </xf>
    <xf numFmtId="0" fontId="183" fillId="38" borderId="30" xfId="39" applyFont="1" applyFill="1" applyBorder="1" applyAlignment="1" applyProtection="1">
      <alignment horizontal="center" vertical="center" wrapText="1"/>
      <protection locked="0"/>
    </xf>
    <xf numFmtId="0" fontId="183" fillId="38" borderId="19" xfId="39" applyFont="1" applyFill="1" applyBorder="1" applyAlignment="1" applyProtection="1">
      <alignment horizontal="center" vertical="center" wrapText="1"/>
      <protection locked="0"/>
    </xf>
    <xf numFmtId="0" fontId="183" fillId="38" borderId="20" xfId="39" applyFont="1" applyFill="1" applyBorder="1" applyAlignment="1" applyProtection="1">
      <alignment horizontal="center" vertical="center" wrapText="1"/>
      <protection locked="0"/>
    </xf>
    <xf numFmtId="0" fontId="184" fillId="33" borderId="65" xfId="37" applyFont="1" applyFill="1" applyBorder="1" applyAlignment="1" applyProtection="1">
      <alignment horizontal="center"/>
      <protection/>
    </xf>
    <xf numFmtId="0" fontId="184" fillId="33" borderId="0" xfId="37" applyFont="1" applyFill="1" applyBorder="1" applyAlignment="1" applyProtection="1">
      <alignment horizontal="center"/>
      <protection/>
    </xf>
    <xf numFmtId="0" fontId="184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185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6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 locked="0"/>
    </xf>
    <xf numFmtId="186" fontId="187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7" fillId="46" borderId="32" xfId="33" applyNumberFormat="1" applyFont="1" applyFill="1" applyBorder="1" applyAlignment="1" applyProtection="1">
      <alignment horizontal="center" vertical="center"/>
      <protection/>
    </xf>
    <xf numFmtId="186" fontId="187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6" fillId="33" borderId="0" xfId="36" applyNumberFormat="1" applyFont="1" applyFill="1" applyBorder="1" applyAlignment="1" applyProtection="1">
      <alignment horizontal="center"/>
      <protection/>
    </xf>
    <xf numFmtId="0" fontId="182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4" fillId="33" borderId="119" xfId="37" applyFont="1" applyFill="1" applyBorder="1" applyAlignment="1" applyProtection="1">
      <alignment horizontal="center"/>
      <protection/>
    </xf>
    <xf numFmtId="0" fontId="184" fillId="33" borderId="126" xfId="37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328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329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330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331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333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334</v>
      </c>
      <c r="E15" s="548">
        <f>+H7-1</f>
        <v>2017</v>
      </c>
      <c r="F15" s="481" t="s">
        <v>335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336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337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338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279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278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312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313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314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310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317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318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315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309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311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339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340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341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342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343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344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273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345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346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347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276</v>
      </c>
      <c r="E45" s="67"/>
      <c r="F45" s="552"/>
      <c r="G45" s="552"/>
      <c r="H45" s="552"/>
      <c r="I45" s="553"/>
      <c r="J45" s="554">
        <f>+H7-1</f>
        <v>2017</v>
      </c>
      <c r="K45" s="67" t="s">
        <v>274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275</v>
      </c>
      <c r="E46" s="67"/>
      <c r="F46" s="552"/>
      <c r="G46" s="572">
        <f>+H7-1</f>
        <v>2017</v>
      </c>
      <c r="H46" s="572"/>
      <c r="I46" s="555" t="s">
        <v>348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349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350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351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352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319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316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322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320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324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321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323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325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277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354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355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356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357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358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359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360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361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362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363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364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365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366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367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368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369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371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3" sqref="F13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372</v>
      </c>
      <c r="C1" s="589"/>
      <c r="D1" s="589"/>
      <c r="E1" s="589"/>
      <c r="F1" s="590"/>
      <c r="G1" s="450" t="s">
        <v>253</v>
      </c>
      <c r="H1" s="443"/>
      <c r="I1" s="580">
        <v>1210825210299</v>
      </c>
      <c r="J1" s="581"/>
      <c r="K1" s="444"/>
      <c r="L1" s="452" t="s">
        <v>254</v>
      </c>
      <c r="M1" s="448">
        <v>5592</v>
      </c>
      <c r="N1" s="444"/>
      <c r="O1" s="452" t="s">
        <v>246</v>
      </c>
      <c r="P1" s="471"/>
      <c r="Q1" s="445"/>
      <c r="R1" s="360" t="s">
        <v>286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373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НОИ - ФОНД ГВРС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297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30.09.2018 г.</v>
      </c>
      <c r="G11" s="413">
        <f>+P5-1</f>
        <v>2017</v>
      </c>
      <c r="H11" s="15"/>
      <c r="I11" s="118" t="str">
        <f>+O8</f>
        <v>30.09.2018 г.</v>
      </c>
      <c r="J11" s="414">
        <f>+P5-1</f>
        <v>2017</v>
      </c>
      <c r="K11" s="16"/>
      <c r="L11" s="116" t="str">
        <f>+O8</f>
        <v>30.09.2018 г.</v>
      </c>
      <c r="M11" s="415">
        <f>+P5-1</f>
        <v>2017</v>
      </c>
      <c r="N11" s="16"/>
      <c r="O11" s="370" t="str">
        <f>+O8</f>
        <v>30.09.2018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289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290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26645</v>
      </c>
      <c r="G15" s="245">
        <v>61237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26645</v>
      </c>
      <c r="P15" s="395">
        <f t="shared" si="0"/>
        <v>61237</v>
      </c>
      <c r="Q15" s="31"/>
      <c r="R15" s="612" t="s">
        <v>155</v>
      </c>
      <c r="S15" s="613"/>
      <c r="T15" s="614"/>
      <c r="U15" s="34"/>
      <c r="V15" s="2"/>
      <c r="W15" s="120" t="s">
        <v>291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305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20" t="s">
        <v>308</v>
      </c>
      <c r="S16" s="621"/>
      <c r="T16" s="622"/>
      <c r="U16" s="34"/>
      <c r="V16" s="2"/>
      <c r="W16" s="233" t="s">
        <v>292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326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301</v>
      </c>
      <c r="S17" s="627"/>
      <c r="T17" s="628"/>
      <c r="U17" s="34"/>
      <c r="V17" s="2"/>
      <c r="W17" s="231" t="s">
        <v>293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3026</v>
      </c>
      <c r="G18" s="245">
        <v>14318</v>
      </c>
      <c r="H18" s="15"/>
      <c r="I18" s="246"/>
      <c r="J18" s="245"/>
      <c r="K18" s="243"/>
      <c r="L18" s="246"/>
      <c r="M18" s="245"/>
      <c r="N18" s="243"/>
      <c r="O18" s="382">
        <f t="shared" si="0"/>
        <v>3026</v>
      </c>
      <c r="P18" s="395">
        <f t="shared" si="0"/>
        <v>14318</v>
      </c>
      <c r="Q18" s="31"/>
      <c r="R18" s="612" t="s">
        <v>156</v>
      </c>
      <c r="S18" s="613"/>
      <c r="T18" s="614"/>
      <c r="U18" s="34"/>
      <c r="V18" s="2"/>
      <c r="W18" s="120" t="s">
        <v>294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623" t="s">
        <v>157</v>
      </c>
      <c r="S19" s="624"/>
      <c r="T19" s="625"/>
      <c r="U19" s="34"/>
      <c r="V19" s="2"/>
      <c r="W19" s="233" t="s">
        <v>295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623" t="s">
        <v>158</v>
      </c>
      <c r="S20" s="624"/>
      <c r="T20" s="625"/>
      <c r="U20" s="34"/>
      <c r="V20" s="2"/>
      <c r="W20" s="231" t="s">
        <v>296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297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6385613</v>
      </c>
      <c r="G22" s="247">
        <v>8205072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6385613</v>
      </c>
      <c r="P22" s="429">
        <f t="shared" si="0"/>
        <v>8205072</v>
      </c>
      <c r="Q22" s="31"/>
      <c r="R22" s="623" t="s">
        <v>160</v>
      </c>
      <c r="S22" s="624"/>
      <c r="T22" s="625"/>
      <c r="U22" s="34"/>
      <c r="V22" s="2"/>
      <c r="W22" s="233" t="s">
        <v>298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299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700</v>
      </c>
      <c r="G24" s="249">
        <v>650</v>
      </c>
      <c r="H24" s="15"/>
      <c r="I24" s="250"/>
      <c r="J24" s="249"/>
      <c r="K24" s="243"/>
      <c r="L24" s="250"/>
      <c r="M24" s="249"/>
      <c r="N24" s="243"/>
      <c r="O24" s="378">
        <f t="shared" si="0"/>
        <v>700</v>
      </c>
      <c r="P24" s="401">
        <f t="shared" si="0"/>
        <v>650</v>
      </c>
      <c r="Q24" s="31"/>
      <c r="R24" s="629" t="s">
        <v>302</v>
      </c>
      <c r="S24" s="630"/>
      <c r="T24" s="631"/>
      <c r="U24" s="34"/>
      <c r="V24" s="2"/>
      <c r="W24" s="120" t="s">
        <v>300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6415984</v>
      </c>
      <c r="G25" s="251">
        <f>+ROUND(+SUM(G15,G16,G18,G19,G20,G21,G22,G23,G24),0)</f>
        <v>8281277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6415984</v>
      </c>
      <c r="P25" s="380">
        <f>+ROUND(+SUM(P15,P16,P18,P19,P20,P21,P22,P23,P24),0)</f>
        <v>8281277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263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264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259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6415984</v>
      </c>
      <c r="G50" s="273">
        <f>+ROUND(G25+G30+G37+G42+G48,0)</f>
        <v>8281277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6415984</v>
      </c>
      <c r="P50" s="397">
        <f>+ROUND(P25+P30+P37+P42+P48,0)</f>
        <v>8281277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95692</v>
      </c>
      <c r="G53" s="275">
        <v>130841</v>
      </c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95692</v>
      </c>
      <c r="P53" s="376">
        <f t="shared" si="4"/>
        <v>130841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10031</v>
      </c>
      <c r="G54" s="249">
        <v>55627</v>
      </c>
      <c r="H54" s="15"/>
      <c r="I54" s="250"/>
      <c r="J54" s="249"/>
      <c r="K54" s="243"/>
      <c r="L54" s="250"/>
      <c r="M54" s="249"/>
      <c r="N54" s="243"/>
      <c r="O54" s="378">
        <f t="shared" si="4"/>
        <v>10031</v>
      </c>
      <c r="P54" s="401">
        <f t="shared" si="4"/>
        <v>55627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/>
      <c r="G55" s="249"/>
      <c r="H55" s="15"/>
      <c r="I55" s="250"/>
      <c r="J55" s="249"/>
      <c r="K55" s="243"/>
      <c r="L55" s="250"/>
      <c r="M55" s="249"/>
      <c r="N55" s="243"/>
      <c r="O55" s="378">
        <f t="shared" si="4"/>
        <v>0</v>
      </c>
      <c r="P55" s="401">
        <f t="shared" si="4"/>
        <v>0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54819</v>
      </c>
      <c r="G56" s="249">
        <v>65626</v>
      </c>
      <c r="H56" s="15"/>
      <c r="I56" s="250"/>
      <c r="J56" s="249"/>
      <c r="K56" s="243"/>
      <c r="L56" s="250"/>
      <c r="M56" s="249"/>
      <c r="N56" s="243"/>
      <c r="O56" s="378">
        <f t="shared" si="4"/>
        <v>54819</v>
      </c>
      <c r="P56" s="401">
        <f t="shared" si="4"/>
        <v>65626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-622</v>
      </c>
      <c r="G57" s="249">
        <v>-86975</v>
      </c>
      <c r="H57" s="15"/>
      <c r="I57" s="250"/>
      <c r="J57" s="249"/>
      <c r="K57" s="243"/>
      <c r="L57" s="250"/>
      <c r="M57" s="249"/>
      <c r="N57" s="243"/>
      <c r="O57" s="378">
        <f t="shared" si="4"/>
        <v>-622</v>
      </c>
      <c r="P57" s="401">
        <f t="shared" si="4"/>
        <v>-86975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159920</v>
      </c>
      <c r="G58" s="277">
        <f>+ROUND(+SUM(G53:G57),0)</f>
        <v>165119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159920</v>
      </c>
      <c r="P58" s="399">
        <f>+ROUND(+SUM(P53:P57),0)</f>
        <v>165119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/>
      <c r="G61" s="249"/>
      <c r="H61" s="15"/>
      <c r="I61" s="250"/>
      <c r="J61" s="249"/>
      <c r="K61" s="243"/>
      <c r="L61" s="250"/>
      <c r="M61" s="249"/>
      <c r="N61" s="243"/>
      <c r="O61" s="378">
        <f t="shared" si="5"/>
        <v>0</v>
      </c>
      <c r="P61" s="401">
        <f t="shared" si="5"/>
        <v>0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260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0</v>
      </c>
      <c r="G65" s="277">
        <f>+ROUND(+SUM(G60:G63),0)</f>
        <v>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0</v>
      </c>
      <c r="P65" s="399">
        <f>+ROUND(+SUM(P60:P63),0)</f>
        <v>0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261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5572841</v>
      </c>
      <c r="G71" s="275">
        <v>242827</v>
      </c>
      <c r="H71" s="15"/>
      <c r="I71" s="276"/>
      <c r="J71" s="275"/>
      <c r="K71" s="243"/>
      <c r="L71" s="276"/>
      <c r="M71" s="275"/>
      <c r="N71" s="243"/>
      <c r="O71" s="383">
        <f>+ROUND(+F71+I71+L71,0)</f>
        <v>5572841</v>
      </c>
      <c r="P71" s="376">
        <f>+ROUND(+G71+J71+M71,0)</f>
        <v>242827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5572841</v>
      </c>
      <c r="G73" s="277">
        <f>+ROUND(+SUM(G71:G72),0)</f>
        <v>242827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5572841</v>
      </c>
      <c r="P73" s="399">
        <f>+ROUND(+SUM(P71:P72),0)</f>
        <v>242827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266</v>
      </c>
      <c r="C79" s="199"/>
      <c r="D79" s="200"/>
      <c r="E79" s="15"/>
      <c r="F79" s="285">
        <f>+ROUND(F58+F65+F69+F73+F77,0)</f>
        <v>5732761</v>
      </c>
      <c r="G79" s="288">
        <f>+ROUND(G58+G65+G69+G73+G77,0)</f>
        <v>407946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5732761</v>
      </c>
      <c r="P79" s="409">
        <f>+ROUND(P58+P65+P69+P73+P77,0)</f>
        <v>407946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265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4698</v>
      </c>
      <c r="G81" s="245"/>
      <c r="H81" s="15"/>
      <c r="I81" s="246"/>
      <c r="J81" s="245"/>
      <c r="K81" s="243"/>
      <c r="L81" s="246"/>
      <c r="M81" s="245"/>
      <c r="N81" s="243"/>
      <c r="O81" s="382">
        <f>+ROUND(+F81+I81+L81,0)</f>
        <v>4698</v>
      </c>
      <c r="P81" s="395">
        <f>+ROUND(+G81+J81+M81,0)</f>
        <v>0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267</v>
      </c>
      <c r="C83" s="158"/>
      <c r="D83" s="159"/>
      <c r="E83" s="15"/>
      <c r="F83" s="287">
        <f>+ROUND(F81+F82,0)</f>
        <v>4698</v>
      </c>
      <c r="G83" s="286">
        <f>+ROUND(G81+G82,0)</f>
        <v>0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4698</v>
      </c>
      <c r="P83" s="404">
        <f>+ROUND(P81+P82,0)</f>
        <v>0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268</v>
      </c>
      <c r="C85" s="154"/>
      <c r="D85" s="155"/>
      <c r="E85" s="15"/>
      <c r="F85" s="308">
        <f>+ROUND(F50,0)-ROUND(F79,0)+ROUND(F83,0)</f>
        <v>687921</v>
      </c>
      <c r="G85" s="307">
        <f>+ROUND(G50,0)-ROUND(G79,0)+ROUND(G83,0)</f>
        <v>7873331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687921</v>
      </c>
      <c r="P85" s="406">
        <f>+ROUND(P50,0)-ROUND(P79,0)+ROUND(P83,0)</f>
        <v>7873331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-687921</v>
      </c>
      <c r="G86" s="309">
        <f>+ROUND(G103,0)+ROUND(G122,0)+ROUND(G129,0)-ROUND(G134,0)</f>
        <v>-7873331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-687921</v>
      </c>
      <c r="P86" s="408">
        <f>+ROUND(P103,0)+ROUND(P122,0)+ROUND(P129,0)-ROUND(P134,0)</f>
        <v>-7873331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262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269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287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270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>
        <v>50077535</v>
      </c>
      <c r="G99" s="245">
        <v>-15502982</v>
      </c>
      <c r="H99" s="15"/>
      <c r="I99" s="246"/>
      <c r="J99" s="245"/>
      <c r="K99" s="243"/>
      <c r="L99" s="246"/>
      <c r="M99" s="245"/>
      <c r="N99" s="243"/>
      <c r="O99" s="382">
        <f>+ROUND(+F99+I99+L99,0)</f>
        <v>50077535</v>
      </c>
      <c r="P99" s="395">
        <f>+ROUND(+G99+J99+M99,0)</f>
        <v>-15502982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21</v>
      </c>
      <c r="G100" s="249">
        <v>-21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21</v>
      </c>
      <c r="P100" s="401">
        <f>+ROUND(+G100+J100+M100,0)</f>
        <v>-21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50077556</v>
      </c>
      <c r="G101" s="251">
        <f>+ROUND(+SUM(G99:G100),0)</f>
        <v>-15503003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50077556</v>
      </c>
      <c r="P101" s="380">
        <f>+ROUND(+SUM(P99:P100),0)</f>
        <v>-15503003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50077556</v>
      </c>
      <c r="G103" s="273">
        <f>+ROUND(G91+G97+G101,0)</f>
        <v>-15503003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50077556</v>
      </c>
      <c r="P103" s="397">
        <f>+ROUND(P91+P97+P101,0)</f>
        <v>-15503003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>
        <v>0</v>
      </c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4534</v>
      </c>
      <c r="G125" s="249">
        <v>4788</v>
      </c>
      <c r="H125" s="15"/>
      <c r="I125" s="250"/>
      <c r="J125" s="249"/>
      <c r="K125" s="243"/>
      <c r="L125" s="250"/>
      <c r="M125" s="249"/>
      <c r="N125" s="243"/>
      <c r="O125" s="378">
        <f t="shared" si="7"/>
        <v>4534</v>
      </c>
      <c r="P125" s="401">
        <f t="shared" si="7"/>
        <v>4788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-5359</v>
      </c>
      <c r="G126" s="249">
        <v>1713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-5359</v>
      </c>
      <c r="P126" s="401">
        <f t="shared" si="7"/>
        <v>1713</v>
      </c>
      <c r="Q126" s="31"/>
      <c r="R126" s="653" t="s">
        <v>327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303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304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-825</v>
      </c>
      <c r="G129" s="286">
        <f>+ROUND(+SUM(G124,G125,G126,G128),0)</f>
        <v>6501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-825</v>
      </c>
      <c r="P129" s="404">
        <f>+ROUND(+SUM(P124,P125,P126,P128),0)</f>
        <v>6501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12177587</v>
      </c>
      <c r="G131" s="245">
        <v>19800758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12177587</v>
      </c>
      <c r="P131" s="395">
        <f t="shared" si="8"/>
        <v>19800758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-62942239</v>
      </c>
      <c r="G132" s="249">
        <v>-12177587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-62942239</v>
      </c>
      <c r="P132" s="401">
        <f t="shared" si="8"/>
        <v>-12177587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/>
      <c r="G133" s="249"/>
      <c r="H133" s="15"/>
      <c r="I133" s="250"/>
      <c r="J133" s="249"/>
      <c r="K133" s="243"/>
      <c r="L133" s="250"/>
      <c r="M133" s="249"/>
      <c r="N133" s="243"/>
      <c r="O133" s="378">
        <f t="shared" si="8"/>
        <v>0</v>
      </c>
      <c r="P133" s="401">
        <f t="shared" si="8"/>
        <v>0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50764652</v>
      </c>
      <c r="G134" s="291">
        <f>+ROUND(+G133-G131-G132,0)</f>
        <v>-7623171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50764652</v>
      </c>
      <c r="P134" s="412">
        <f>+ROUND(+P133-P131-P132,0)</f>
        <v>-7623171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25102018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 t="s">
        <v>374</v>
      </c>
      <c r="G143" s="592"/>
      <c r="H143" s="592"/>
      <c r="I143" s="593"/>
      <c r="J143" s="362"/>
      <c r="K143" s="16"/>
      <c r="L143" s="362" t="s">
        <v>241</v>
      </c>
      <c r="M143" s="591" t="s">
        <v>375</v>
      </c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282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283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284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285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НОИ - ФОНД ГВРС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1210825210299</v>
      </c>
      <c r="J1" s="680"/>
      <c r="K1" s="456"/>
      <c r="L1" s="457" t="s">
        <v>254</v>
      </c>
      <c r="M1" s="458">
        <f>+'Cash-Flow-2018-Leva'!M1</f>
        <v>5592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гр.София 1303, бул.Ал.Стамболийски 62-64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НОИ - ФОНД ГВРС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30.09.2018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30.09.2018 г.</v>
      </c>
      <c r="G11" s="413">
        <f>+'Cash-Flow-2018-Leva'!G11</f>
        <v>2017</v>
      </c>
      <c r="H11" s="5"/>
      <c r="I11" s="118" t="str">
        <f>+O8</f>
        <v>30.09.2018 г.</v>
      </c>
      <c r="J11" s="414">
        <f>+'Cash-Flow-2018-Leva'!J11</f>
        <v>2017</v>
      </c>
      <c r="K11" s="5"/>
      <c r="L11" s="116" t="str">
        <f>+O8</f>
        <v>30.09.2018 г.</v>
      </c>
      <c r="M11" s="415">
        <f>+'Cash-Flow-2018-Leva'!M11</f>
        <v>2017</v>
      </c>
      <c r="N11" s="482"/>
      <c r="O11" s="370" t="str">
        <f>+O8</f>
        <v>30.09.2018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26.645</v>
      </c>
      <c r="G15" s="271">
        <f>+'Cash-Flow-2018-Leva'!G15/1000</f>
        <v>61.237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26.645</v>
      </c>
      <c r="P15" s="395">
        <f aca="true" t="shared" si="1" ref="P15:P24">+G15+J15+M15</f>
        <v>61.237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305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326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3.026</v>
      </c>
      <c r="G18" s="271">
        <f>+'Cash-Flow-2018-Leva'!G18/1000</f>
        <v>14.318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3.026</v>
      </c>
      <c r="P18" s="395">
        <f t="shared" si="1"/>
        <v>14.318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</v>
      </c>
      <c r="G20" s="294">
        <f>+'Cash-Flow-2018-Leva'!G20/1000</f>
        <v>0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6385.613</v>
      </c>
      <c r="G22" s="294">
        <f>+'Cash-Flow-2018-Leva'!G22/1000</f>
        <v>8205.072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6385.613</v>
      </c>
      <c r="P22" s="429">
        <f t="shared" si="1"/>
        <v>8205.072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0.7</v>
      </c>
      <c r="G24" s="283">
        <f>+'Cash-Flow-2018-Leva'!G24/1000</f>
        <v>0.65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0.7</v>
      </c>
      <c r="P24" s="401">
        <f t="shared" si="1"/>
        <v>0.65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6415.984</v>
      </c>
      <c r="G25" s="251">
        <f>+SUM(G15,G16,G18,G19,G20,G21,G22,G23,G24)</f>
        <v>8281.277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6415.984</v>
      </c>
      <c r="P25" s="380">
        <f>+SUM(P15,P16,P18,P19,P20,P21,P22,P23,P24)</f>
        <v>8281.277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263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264</v>
      </c>
      <c r="C37" s="161"/>
      <c r="D37" s="162"/>
      <c r="E37" s="293"/>
      <c r="F37" s="252">
        <f>+'Cash-Flow-2018-Leva'!F37/1000</f>
        <v>0</v>
      </c>
      <c r="G37" s="251">
        <f>+'Cash-Flow-2018-Leva'!G37/1000</f>
        <v>0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0</v>
      </c>
      <c r="G39" s="298">
        <f>+'Cash-Flow-2018-Leva'!G39/1000</f>
        <v>0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259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6415.984</v>
      </c>
      <c r="G50" s="273">
        <f>+G25+G30+G37+G42+G48</f>
        <v>8281.277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6415.984</v>
      </c>
      <c r="P50" s="397">
        <f>+P25+P30+P37+P42+P48</f>
        <v>8281.277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95.692</v>
      </c>
      <c r="G53" s="244">
        <f>+'Cash-Flow-2018-Leva'!G53/1000</f>
        <v>130.841</v>
      </c>
      <c r="H53" s="293"/>
      <c r="I53" s="254">
        <f>+'Cash-Flow-2018-Leva'!I53/1000</f>
        <v>0</v>
      </c>
      <c r="J53" s="244">
        <f>+'Cash-Flow-2018-Leva'!J53/1000</f>
        <v>0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95.692</v>
      </c>
      <c r="P53" s="376">
        <f t="shared" si="5"/>
        <v>130.841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10.031</v>
      </c>
      <c r="G54" s="283">
        <f>+'Cash-Flow-2018-Leva'!G54/1000</f>
        <v>55.627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10.031</v>
      </c>
      <c r="P54" s="401">
        <f t="shared" si="5"/>
        <v>55.627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0</v>
      </c>
      <c r="G55" s="283">
        <f>+'Cash-Flow-2018-Leva'!G55/1000</f>
        <v>0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0</v>
      </c>
      <c r="P55" s="401">
        <f t="shared" si="5"/>
        <v>0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54.819</v>
      </c>
      <c r="G56" s="283">
        <f>+'Cash-Flow-2018-Leva'!G56/1000</f>
        <v>65.626</v>
      </c>
      <c r="H56" s="293"/>
      <c r="I56" s="284">
        <f>+'Cash-Flow-2018-Leva'!I56/1000</f>
        <v>0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54.819</v>
      </c>
      <c r="P56" s="401">
        <f t="shared" si="5"/>
        <v>65.626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-0.622</v>
      </c>
      <c r="G57" s="283">
        <f>+'Cash-Flow-2018-Leva'!G57/1000</f>
        <v>-86.975</v>
      </c>
      <c r="H57" s="293"/>
      <c r="I57" s="284">
        <f>+'Cash-Flow-2018-Leva'!I57/1000</f>
        <v>0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-0.622</v>
      </c>
      <c r="P57" s="401">
        <f t="shared" si="5"/>
        <v>-86.975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159.92</v>
      </c>
      <c r="G58" s="277">
        <f>+SUM(G53:G57)</f>
        <v>165.11900000000003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159.92</v>
      </c>
      <c r="P58" s="399">
        <f>+SUM(P53:P57)</f>
        <v>165.11900000000003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</v>
      </c>
      <c r="G61" s="283">
        <f>+'Cash-Flow-2018-Leva'!G61/1000</f>
        <v>0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</v>
      </c>
      <c r="P61" s="401">
        <f t="shared" si="6"/>
        <v>0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260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</v>
      </c>
      <c r="G65" s="277">
        <f>+SUM(G60:G63)</f>
        <v>0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</v>
      </c>
      <c r="P65" s="399">
        <f>+SUM(P60:P63)</f>
        <v>0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261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5572.841</v>
      </c>
      <c r="G71" s="244">
        <f>+'Cash-Flow-2018-Leva'!G71/1000</f>
        <v>242.827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5572.841</v>
      </c>
      <c r="P71" s="376">
        <f>+G71+J71+M71</f>
        <v>242.827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5572.841</v>
      </c>
      <c r="G73" s="277">
        <f>+SUM(G71:G72)</f>
        <v>242.827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5572.841</v>
      </c>
      <c r="P73" s="399">
        <f>+SUM(P71:P72)</f>
        <v>242.827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266</v>
      </c>
      <c r="C79" s="199"/>
      <c r="D79" s="200"/>
      <c r="E79" s="293"/>
      <c r="F79" s="285">
        <f>+F58+F65+F69+F73+F77</f>
        <v>5732.761</v>
      </c>
      <c r="G79" s="288">
        <f>+G58+G65+G69+G73+G77</f>
        <v>407.946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5732.761</v>
      </c>
      <c r="P79" s="409">
        <f>+P58+P65+P69+P73+P77</f>
        <v>407.946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265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4.698</v>
      </c>
      <c r="G81" s="271">
        <f>+'Cash-Flow-2018-Leva'!G81/1000</f>
        <v>0</v>
      </c>
      <c r="H81" s="293"/>
      <c r="I81" s="272">
        <f>+'Cash-Flow-2018-Leva'!I81/1000</f>
        <v>0</v>
      </c>
      <c r="J81" s="271">
        <f>+'Cash-Flow-2018-Leva'!J81/1000</f>
        <v>0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4.698</v>
      </c>
      <c r="P81" s="395">
        <f>+G81+J81+M81</f>
        <v>0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267</v>
      </c>
      <c r="C83" s="158"/>
      <c r="D83" s="159"/>
      <c r="E83" s="293"/>
      <c r="F83" s="287">
        <f>+F81+F82</f>
        <v>4.698</v>
      </c>
      <c r="G83" s="286">
        <f>+G81+G82</f>
        <v>0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4.698</v>
      </c>
      <c r="P83" s="404">
        <f>+P81+P82</f>
        <v>0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268</v>
      </c>
      <c r="C85" s="154"/>
      <c r="D85" s="155"/>
      <c r="E85" s="293"/>
      <c r="F85" s="308">
        <f>+F50-F79+F83</f>
        <v>687.9209999999999</v>
      </c>
      <c r="G85" s="307">
        <f>+G50-G79+G83</f>
        <v>7873.331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687.9209999999999</v>
      </c>
      <c r="P85" s="406">
        <f>+P50-P79+P83</f>
        <v>7873.331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-687.9209999999948</v>
      </c>
      <c r="G86" s="309">
        <f>+G103+G122+G129-G134</f>
        <v>-7873.330999999998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-687.9209999999948</v>
      </c>
      <c r="P86" s="408">
        <f>+P103+P122+P129-P134</f>
        <v>-7873.330999999998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262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269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287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270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50077.535</v>
      </c>
      <c r="G99" s="271">
        <f>+'Cash-Flow-2018-Leva'!G99/1000</f>
        <v>-15502.982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50077.535</v>
      </c>
      <c r="P99" s="395">
        <f>+G99+J99+M99</f>
        <v>-15502.982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0.021</v>
      </c>
      <c r="G100" s="283">
        <f>+'Cash-Flow-2018-Leva'!G100/1000</f>
        <v>-0.021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0.021</v>
      </c>
      <c r="P100" s="401">
        <f>+G100+J100+M100</f>
        <v>-0.021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50077.556000000004</v>
      </c>
      <c r="G101" s="251">
        <f>+SUM(G99:G100)</f>
        <v>-15503.003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50077.556000000004</v>
      </c>
      <c r="P101" s="380">
        <f>+SUM(P99:P100)</f>
        <v>-15503.003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50077.556000000004</v>
      </c>
      <c r="G103" s="273">
        <f>+G91+G97+G101</f>
        <v>-15503.003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50077.556000000004</v>
      </c>
      <c r="P103" s="397">
        <f>+P91+P97+P101</f>
        <v>-15503.003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4.534</v>
      </c>
      <c r="G125" s="283">
        <f>+'Cash-Flow-2018-Leva'!G125/1000</f>
        <v>4.788</v>
      </c>
      <c r="H125" s="293"/>
      <c r="I125" s="284">
        <f>+'Cash-Flow-2018-Leva'!I125/1000</f>
        <v>0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4.534</v>
      </c>
      <c r="P125" s="401">
        <f t="shared" si="8"/>
        <v>4.788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-5.359</v>
      </c>
      <c r="G126" s="283">
        <f>+'Cash-Flow-2018-Leva'!G126/1000</f>
        <v>1.713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-5.359</v>
      </c>
      <c r="P126" s="401">
        <f t="shared" si="8"/>
        <v>1.713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303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-0.8250000000000002</v>
      </c>
      <c r="G129" s="286">
        <f>+SUM(G124,G125,G126,G128)</f>
        <v>6.501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-0.8250000000000002</v>
      </c>
      <c r="P129" s="404">
        <f>+SUM(P124,P125,P126,P128)</f>
        <v>6.501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12177.587</v>
      </c>
      <c r="G131" s="271">
        <f>+'Cash-Flow-2018-Leva'!G131/1000</f>
        <v>19800.758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12177.587</v>
      </c>
      <c r="P131" s="395">
        <f t="shared" si="9"/>
        <v>19800.758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-62942.239</v>
      </c>
      <c r="G132" s="283">
        <f>+'Cash-Flow-2018-Leva'!G132/1000</f>
        <v>-12177.587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-62942.239</v>
      </c>
      <c r="P132" s="401">
        <f t="shared" si="9"/>
        <v>-12177.587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0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0</v>
      </c>
      <c r="P133" s="401">
        <f t="shared" si="9"/>
        <v>0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50764.652</v>
      </c>
      <c r="G134" s="291">
        <f>+G133-G131-G132</f>
        <v>-7623.171000000002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50764.652</v>
      </c>
      <c r="P134" s="412">
        <f>+P133-P131-P132</f>
        <v>-7623.171000000002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25102018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282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283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280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281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306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307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Svetla Jordanova</cp:lastModifiedBy>
  <cp:lastPrinted>2018-04-24T13:40:01Z</cp:lastPrinted>
  <dcterms:created xsi:type="dcterms:W3CDTF">2015-12-01T07:17:04Z</dcterms:created>
  <dcterms:modified xsi:type="dcterms:W3CDTF">2018-10-16T10:30:51Z</dcterms:modified>
  <cp:category/>
  <cp:version/>
  <cp:contentType/>
  <cp:contentStatus/>
</cp:coreProperties>
</file>