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<sst xmlns="http://schemas.openxmlformats.org/spreadsheetml/2006/main" count="673" uniqueCount="458">
  <si>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</si>
  <si>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</si>
  <si>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</si>
  <si>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</si>
  <si>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</si>
  <si>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</si>
  <si>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</si>
  <si>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</si>
  <si>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</si>
  <si>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</si>
  <si>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</si>
  <si>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</si>
  <si>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</si>
  <si>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</si>
  <si>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</si>
  <si>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</si>
  <si>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</si>
  <si>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</si>
  <si>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</si>
  <si>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</si>
  <si>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</si>
  <si>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</si>
  <si>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</si>
  <si>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</si>
  <si>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</si>
  <si>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</si>
  <si>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</si>
  <si>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</si>
  <si>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</si>
  <si>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</si>
  <si>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</si>
  <si>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</si>
  <si>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</si>
  <si>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</si>
  <si>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</si>
  <si>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</si>
  <si>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</si>
  <si>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</si>
  <si>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</si>
  <si>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</si>
  <si>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</si>
  <si>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</si>
  <si>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</si>
  <si>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</si>
  <si>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</si>
  <si>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</si>
  <si>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</si>
  <si>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</si>
  <si>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</si>
  <si>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</si>
  <si>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</si>
  <si>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</si>
  <si>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</si>
  <si>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</si>
  <si>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</si>
  <si>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</si>
  <si>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</si>
  <si>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</si>
  <si>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</si>
  <si>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</si>
  <si>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</si>
  <si>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</si>
  <si>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</si>
  <si>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</si>
  <si>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</si>
  <si>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</si>
  <si>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</si>
  <si>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</si>
  <si>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</si>
  <si>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</si>
  <si>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</si>
  <si>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</si>
  <si>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</si>
  <si>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</si>
  <si>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</si>
  <si>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</si>
  <si>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</si>
  <si>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</si>
  <si>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</si>
  <si>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</si>
  <si>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</si>
  <si>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</si>
  <si>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</si>
  <si>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</si>
  <si>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</si>
  <si>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</si>
  <si>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</si>
  <si>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</si>
  <si>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</si>
  <si>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</si>
  <si>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</si>
  <si>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</si>
  <si>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</si>
  <si>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</si>
  <si>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</si>
  <si>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</si>
  <si>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</si>
  <si>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</si>
  <si>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</si>
  <si>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</si>
  <si>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</si>
  <si>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</si>
  <si>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</si>
  <si>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</si>
  <si>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</si>
  <si>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</si>
  <si>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</si>
  <si>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</si>
  <si>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</si>
  <si>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</si>
  <si>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</si>
  <si>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</si>
  <si>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</si>
  <si>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</si>
  <si>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</si>
  <si>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</si>
  <si>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</si>
  <si>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</si>
  <si>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</si>
  <si>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</si>
  <si>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</si>
  <si>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</si>
  <si>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</si>
  <si>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</si>
  <si>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</si>
  <si>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</si>
  <si>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</si>
  <si>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</si>
  <si>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</si>
  <si>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</si>
  <si>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</si>
  <si>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</si>
  <si>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</si>
  <si>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</si>
  <si>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</si>
  <si>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</si>
  <si>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</si>
  <si>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</si>
  <si>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</si>
  <si>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</si>
  <si>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</si>
  <si>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</si>
  <si>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</si>
  <si>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</si>
  <si>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</si>
  <si>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</si>
  <si>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</si>
  <si>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</si>
  <si>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</si>
  <si>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</si>
  <si>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</si>
  <si>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</si>
  <si>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</si>
  <si>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</si>
  <si>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</si>
  <si>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</si>
  <si>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</si>
  <si>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</si>
  <si>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</si>
  <si>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</si>
  <si>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</si>
  <si>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</si>
  <si>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</si>
  <si>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</si>
  <si>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</si>
  <si>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</si>
  <si>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</si>
  <si>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</si>
  <si>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</si>
  <si>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</si>
  <si>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</si>
  <si>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</si>
  <si>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</si>
  <si>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</si>
  <si>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</si>
  <si>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</si>
  <si>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</si>
  <si>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</si>
  <si>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</si>
  <si>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</si>
  <si>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</si>
  <si>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</si>
  <si>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</si>
  <si>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</si>
  <si>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</si>
  <si>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</si>
  <si>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</si>
  <si>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</si>
  <si>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</si>
  <si>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</si>
  <si>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</si>
  <si>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</si>
  <si>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</si>
  <si>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</si>
  <si>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</si>
  <si>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</si>
  <si>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</si>
  <si>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</si>
  <si>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</si>
  <si>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</si>
  <si>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</si>
  <si>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</si>
  <si>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</si>
  <si>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</si>
  <si>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</si>
  <si>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</si>
  <si>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</si>
  <si>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</si>
  <si>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</si>
  <si>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</si>
  <si>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</si>
  <si>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</si>
  <si>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</si>
  <si>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</si>
  <si>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</si>
  <si>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</si>
  <si>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</si>
  <si>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</si>
  <si>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</si>
  <si>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</si>
  <si>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</si>
  <si>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</si>
  <si>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</si>
  <si>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</si>
  <si>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</si>
  <si>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</si>
  <si>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</si>
  <si>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</si>
  <si>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</si>
  <si>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</si>
  <si>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</si>
  <si>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</si>
  <si>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</si>
  <si>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</si>
  <si>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</si>
  <si>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</si>
  <si>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</si>
  <si>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</si>
  <si>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</si>
  <si>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</si>
  <si>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</si>
  <si>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</si>
  <si>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</si>
  <si>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</si>
  <si>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</si>
  <si>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</si>
  <si>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</si>
  <si>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</si>
  <si>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</si>
  <si>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</si>
  <si>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</si>
  <si>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</si>
  <si>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</si>
  <si>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</si>
  <si>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</si>
  <si>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</si>
  <si>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</si>
  <si>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</si>
  <si>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</si>
  <si>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</si>
  <si>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</si>
  <si>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</si>
  <si>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</si>
  <si>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</si>
  <si>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</si>
  <si>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</si>
  <si>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</si>
  <si>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</si>
  <si>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</si>
  <si>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</si>
  <si>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</si>
  <si>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</si>
  <si>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</si>
  <si>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</si>
  <si>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</si>
  <si>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</si>
  <si>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</si>
  <si>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</si>
  <si>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</si>
  <si>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</si>
  <si>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</si>
  <si>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</si>
  <si>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</si>
  <si>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</si>
  <si>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</si>
  <si>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</si>
  <si>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</si>
  <si>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</si>
  <si>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</si>
  <si>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</si>
  <si>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</si>
  <si>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</si>
  <si>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</si>
  <si>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</si>
  <si>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</si>
  <si>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</si>
  <si>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</si>
  <si>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</si>
  <si>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</si>
  <si>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</si>
  <si>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</si>
  <si>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</si>
  <si>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</si>
  <si>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</si>
  <si>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</si>
  <si>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</si>
  <si>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</si>
  <si>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</si>
  <si>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</si>
  <si>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</si>
  <si>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</si>
  <si>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</si>
  <si>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</si>
  <si>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</si>
  <si>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</si>
  <si>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</si>
  <si>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</si>
  <si>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</si>
  <si>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</si>
  <si>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</si>
  <si>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</si>
  <si>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</si>
  <si>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</si>
  <si>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</si>
  <si>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</si>
  <si>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</si>
  <si>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</si>
  <si>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</si>
  <si>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</si>
  <si>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</si>
  <si>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</si>
  <si>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</si>
  <si>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</si>
  <si>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</si>
  <si>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</si>
  <si>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</si>
  <si>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</si>
  <si>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</si>
  <si>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</si>
  <si>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</si>
  <si>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</si>
  <si>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</si>
  <si>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</si>
  <si>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</si>
  <si>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</si>
  <si>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</si>
  <si>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</si>
  <si>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</si>
  <si>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</si>
  <si>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</si>
  <si>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</si>
  <si>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</si>
  <si>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</si>
  <si>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</si>
  <si>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</si>
  <si>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</si>
  <si>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</si>
  <si>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</si>
  <si>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</si>
  <si>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</si>
  <si>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</si>
  <si>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</si>
  <si>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</si>
  <si>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</si>
  <si>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</si>
  <si>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</si>
  <si>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</si>
  <si>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</si>
  <si>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</si>
  <si>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</si>
  <si>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</si>
  <si>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</si>
  <si>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</si>
  <si>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</si>
  <si>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</si>
  <si>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</si>
  <si>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</si>
  <si>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</si>
  <si>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</si>
  <si>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</si>
  <si>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</si>
  <si>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</si>
  <si>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</si>
  <si>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</si>
  <si>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</si>
  <si>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</si>
  <si>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</si>
  <si>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</si>
  <si>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</si>
  <si>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</si>
  <si>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</si>
  <si>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</si>
  <si>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</si>
  <si>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</si>
  <si>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</si>
  <si>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</si>
  <si>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</si>
  <si>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</si>
  <si>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</si>
  <si>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</si>
  <si>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</si>
  <si>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</si>
  <si>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</si>
  <si>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</si>
  <si>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</si>
  <si>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</si>
  <si>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</si>
  <si>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</si>
  <si>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</si>
  <si>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</si>
  <si>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</si>
  <si>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</si>
  <si>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</si>
  <si>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</si>
  <si>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</si>
  <si>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</si>
  <si>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</si>
  <si>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</si>
  <si>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</si>
  <si>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</si>
  <si>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</si>
  <si>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</si>
  <si>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</si>
  <si>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</si>
  <si>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</si>
  <si>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</si>
  <si>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</si>
  <si>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</si>
  <si>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</si>
  <si>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</si>
  <si>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</si>
  <si>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</si>
  <si>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</si>
  <si>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</si>
  <si>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</si>
  <si>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</si>
  <si>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</si>
  <si>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</si>
  <si>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</si>
  <si>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</si>
  <si>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</si>
  <si>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</si>
  <si>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</si>
  <si>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</si>
  <si>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</si>
  <si>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</si>
  <si>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</si>
  <si>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</si>
  <si>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</si>
  <si>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</si>
  <si>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</si>
  <si>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</si>
  <si>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</si>
  <si>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</si>
  <si>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</si>
  <si>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</si>
  <si>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</si>
  <si>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Ивайло Иванов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</si>
</sst>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rgb="FF800000"/>
      <name val="Times New Roman CYR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dashed"/>
      <bottom style="dashed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3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66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5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154" fillId="40" borderId="26" xfId="57" applyFont="1" applyFill="1" applyBorder="1">
      <alignment/>
      <protection/>
    </xf>
    <xf numFmtId="0" fontId="154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8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3" fillId="32" borderId="29" xfId="0" applyNumberFormat="1" applyFont="1" applyFill="1" applyBorder="1" applyAlignment="1" applyProtection="1">
      <alignment horizontal="center"/>
      <protection/>
    </xf>
    <xf numFmtId="166" fontId="12" fillId="32" borderId="29" xfId="0" applyNumberFormat="1" applyFont="1" applyFill="1" applyBorder="1" applyAlignment="1" applyProtection="1">
      <alignment horizontal="center"/>
      <protection/>
    </xf>
    <xf numFmtId="166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4" fillId="43" borderId="55" xfId="65" applyNumberFormat="1" applyFont="1" applyFill="1" applyBorder="1" applyAlignment="1" applyProtection="1">
      <alignment/>
      <protection/>
    </xf>
    <xf numFmtId="38" fontId="24" fillId="43" borderId="56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4" fillId="43" borderId="45" xfId="65" applyNumberFormat="1" applyFont="1" applyFill="1" applyBorder="1" applyAlignment="1" applyProtection="1">
      <alignment/>
      <protection/>
    </xf>
    <xf numFmtId="38" fontId="24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5" fontId="161" fillId="33" borderId="29" xfId="0" applyNumberFormat="1" applyFont="1" applyFill="1" applyBorder="1" applyAlignment="1" applyProtection="1">
      <alignment horizontal="center"/>
      <protection locked="0"/>
    </xf>
    <xf numFmtId="175" fontId="161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61" xfId="65" applyNumberFormat="1" applyFont="1" applyFill="1" applyBorder="1" applyAlignment="1" applyProtection="1">
      <alignment/>
      <protection/>
    </xf>
    <xf numFmtId="38" fontId="24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4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62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3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3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3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3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3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3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3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3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24" fillId="43" borderId="45" xfId="65" applyNumberFormat="1" applyFont="1" applyFill="1" applyBorder="1" applyAlignment="1" applyProtection="1">
      <alignment horizontal="center"/>
      <protection/>
    </xf>
    <xf numFmtId="38" fontId="24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6" fontId="5" fillId="39" borderId="68" xfId="60" applyNumberFormat="1" applyFont="1" applyFill="1" applyBorder="1" applyAlignment="1" applyProtection="1">
      <alignment horizontal="left"/>
      <protection/>
    </xf>
    <xf numFmtId="166" fontId="5" fillId="39" borderId="40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5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32" borderId="84" xfId="0" applyNumberFormat="1" applyFont="1" applyFill="1" applyBorder="1" applyAlignment="1" applyProtection="1">
      <alignment/>
      <protection/>
    </xf>
    <xf numFmtId="176" fontId="3" fillId="32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8" fillId="39" borderId="104" xfId="0" applyNumberFormat="1" applyFont="1" applyFill="1" applyBorder="1" applyAlignment="1" applyProtection="1" quotePrefix="1">
      <alignment horizontal="center"/>
      <protection/>
    </xf>
    <xf numFmtId="183" fontId="164" fillId="41" borderId="104" xfId="0" applyNumberFormat="1" applyFont="1" applyFill="1" applyBorder="1" applyAlignment="1" applyProtection="1" quotePrefix="1">
      <alignment horizontal="center"/>
      <protection/>
    </xf>
    <xf numFmtId="183" fontId="165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6" fillId="38" borderId="106" xfId="0" applyNumberFormat="1" applyFont="1" applyFill="1" applyBorder="1" applyAlignment="1" applyProtection="1">
      <alignment horizontal="center"/>
      <protection/>
    </xf>
    <xf numFmtId="174" fontId="166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6" fontId="167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3" fillId="43" borderId="110" xfId="0" applyNumberFormat="1" applyFont="1" applyFill="1" applyBorder="1" applyAlignment="1" applyProtection="1">
      <alignment/>
      <protection/>
    </xf>
    <xf numFmtId="176" fontId="33" fillId="43" borderId="94" xfId="0" applyNumberFormat="1" applyFont="1" applyFill="1" applyBorder="1" applyAlignment="1" applyProtection="1">
      <alignment/>
      <protection/>
    </xf>
    <xf numFmtId="176" fontId="33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3" fillId="43" borderId="113" xfId="0" applyNumberFormat="1" applyFont="1" applyFill="1" applyBorder="1" applyAlignment="1" applyProtection="1">
      <alignment/>
      <protection/>
    </xf>
    <xf numFmtId="176" fontId="12" fillId="43" borderId="112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6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64" fontId="58" fillId="50" borderId="29" xfId="64" applyNumberFormat="1" applyFont="1" applyFill="1" applyBorder="1" applyAlignment="1" applyProtection="1">
      <alignment horizontal="center" vertical="center"/>
      <protection locked="0"/>
    </xf>
    <xf numFmtId="166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72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4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72" fillId="33" borderId="29" xfId="64" applyNumberFormat="1" applyFont="1" applyFill="1" applyBorder="1" applyAlignment="1" applyProtection="1">
      <alignment horizontal="center" vertical="center"/>
      <protection/>
    </xf>
    <xf numFmtId="164" fontId="173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32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74" fillId="33" borderId="73" xfId="0" applyNumberFormat="1" applyFont="1" applyFill="1" applyBorder="1" applyAlignment="1" applyProtection="1" quotePrefix="1">
      <alignment/>
      <protection/>
    </xf>
    <xf numFmtId="166" fontId="175" fillId="33" borderId="73" xfId="0" applyNumberFormat="1" applyFont="1" applyFill="1" applyBorder="1" applyAlignment="1" applyProtection="1" quotePrefix="1">
      <alignment/>
      <protection/>
    </xf>
    <xf numFmtId="166" fontId="174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4" fillId="33" borderId="118" xfId="0" applyNumberFormat="1" applyFont="1" applyFill="1" applyBorder="1" applyAlignment="1" applyProtection="1" quotePrefix="1">
      <alignment/>
      <protection/>
    </xf>
    <xf numFmtId="166" fontId="174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4" fillId="32" borderId="118" xfId="0" applyNumberFormat="1" applyFont="1" applyFill="1" applyBorder="1" applyAlignment="1" applyProtection="1" quotePrefix="1">
      <alignment/>
      <protection/>
    </xf>
    <xf numFmtId="166" fontId="175" fillId="32" borderId="34" xfId="0" applyNumberFormat="1" applyFont="1" applyFill="1" applyBorder="1" applyAlignment="1" applyProtection="1" quotePrefix="1">
      <alignment/>
      <protection/>
    </xf>
    <xf numFmtId="166" fontId="174" fillId="33" borderId="88" xfId="0" applyNumberFormat="1" applyFont="1" applyFill="1" applyBorder="1" applyAlignment="1" applyProtection="1" quotePrefix="1">
      <alignment/>
      <protection/>
    </xf>
    <xf numFmtId="166" fontId="175" fillId="33" borderId="89" xfId="0" applyNumberFormat="1" applyFont="1" applyFill="1" applyBorder="1" applyAlignment="1" applyProtection="1" quotePrefix="1">
      <alignment/>
      <protection/>
    </xf>
    <xf numFmtId="166" fontId="175" fillId="33" borderId="34" xfId="0" applyNumberFormat="1" applyFont="1" applyFill="1" applyBorder="1" applyAlignment="1" applyProtection="1" quotePrefix="1">
      <alignment/>
      <protection/>
    </xf>
    <xf numFmtId="0" fontId="34" fillId="33" borderId="119" xfId="64" applyFont="1" applyFill="1" applyBorder="1" applyProtection="1">
      <alignment/>
      <protection/>
    </xf>
    <xf numFmtId="0" fontId="34" fillId="33" borderId="45" xfId="64" applyFont="1" applyFill="1" applyBorder="1" applyProtection="1">
      <alignment/>
      <protection/>
    </xf>
    <xf numFmtId="0" fontId="34" fillId="33" borderId="31" xfId="64" applyFont="1" applyFill="1" applyBorder="1" applyProtection="1">
      <alignment/>
      <protection/>
    </xf>
    <xf numFmtId="174" fontId="38" fillId="51" borderId="120" xfId="0" applyNumberFormat="1" applyFont="1" applyFill="1" applyBorder="1" applyAlignment="1" applyProtection="1">
      <alignment horizontal="center"/>
      <protection/>
    </xf>
    <xf numFmtId="174" fontId="39" fillId="42" borderId="120" xfId="0" applyNumberFormat="1" applyFont="1" applyFill="1" applyBorder="1" applyAlignment="1" applyProtection="1">
      <alignment horizontal="center"/>
      <protection/>
    </xf>
    <xf numFmtId="174" fontId="176" fillId="51" borderId="120" xfId="0" applyNumberFormat="1" applyFont="1" applyFill="1" applyBorder="1" applyAlignment="1" applyProtection="1">
      <alignment horizontal="center"/>
      <protection/>
    </xf>
    <xf numFmtId="174" fontId="177" fillId="42" borderId="120" xfId="0" applyNumberFormat="1" applyFont="1" applyFill="1" applyBorder="1" applyAlignment="1" applyProtection="1">
      <alignment horizontal="center"/>
      <protection/>
    </xf>
    <xf numFmtId="174" fontId="38" fillId="52" borderId="120" xfId="0" applyNumberFormat="1" applyFont="1" applyFill="1" applyBorder="1" applyAlignment="1" applyProtection="1">
      <alignment horizontal="center"/>
      <protection/>
    </xf>
    <xf numFmtId="174" fontId="39" fillId="52" borderId="120" xfId="0" applyNumberFormat="1" applyFont="1" applyFill="1" applyBorder="1" applyAlignment="1" applyProtection="1">
      <alignment horizontal="center"/>
      <protection/>
    </xf>
    <xf numFmtId="174" fontId="178" fillId="52" borderId="120" xfId="0" applyNumberFormat="1" applyFont="1" applyFill="1" applyBorder="1" applyAlignment="1" applyProtection="1">
      <alignment horizontal="center"/>
      <protection/>
    </xf>
    <xf numFmtId="174" fontId="177" fillId="52" borderId="120" xfId="0" applyNumberFormat="1" applyFont="1" applyFill="1" applyBorder="1" applyAlignment="1" applyProtection="1">
      <alignment horizontal="center"/>
      <protection/>
    </xf>
    <xf numFmtId="174" fontId="38" fillId="40" borderId="120" xfId="0" applyNumberFormat="1" applyFont="1" applyFill="1" applyBorder="1" applyAlignment="1" applyProtection="1">
      <alignment horizontal="center"/>
      <protection/>
    </xf>
    <xf numFmtId="174" fontId="39" fillId="40" borderId="120" xfId="0" applyNumberFormat="1" applyFont="1" applyFill="1" applyBorder="1" applyAlignment="1" applyProtection="1">
      <alignment horizontal="center"/>
      <protection/>
    </xf>
    <xf numFmtId="174" fontId="179" fillId="40" borderId="120" xfId="0" applyNumberFormat="1" applyFont="1" applyFill="1" applyBorder="1" applyAlignment="1" applyProtection="1">
      <alignment horizontal="center"/>
      <protection/>
    </xf>
    <xf numFmtId="174" fontId="180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6" fillId="38" borderId="121" xfId="0" applyNumberFormat="1" applyFont="1" applyFill="1" applyBorder="1" applyAlignment="1" applyProtection="1">
      <alignment horizontal="center"/>
      <protection/>
    </xf>
    <xf numFmtId="174" fontId="166" fillId="38" borderId="122" xfId="0" applyNumberFormat="1" applyFont="1" applyFill="1" applyBorder="1" applyAlignment="1" applyProtection="1">
      <alignment horizontal="center"/>
      <protection/>
    </xf>
    <xf numFmtId="166" fontId="12" fillId="32" borderId="121" xfId="0" applyNumberFormat="1" applyFont="1" applyFill="1" applyBorder="1" applyAlignment="1" applyProtection="1">
      <alignment horizontal="center"/>
      <protection/>
    </xf>
    <xf numFmtId="166" fontId="33" fillId="32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81" fillId="43" borderId="44" xfId="65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3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3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3" fillId="43" borderId="10" xfId="0" applyNumberFormat="1" applyFont="1" applyFill="1" applyBorder="1" applyAlignment="1" applyProtection="1">
      <alignment/>
      <protection locked="0"/>
    </xf>
    <xf numFmtId="166" fontId="167" fillId="32" borderId="0" xfId="0" applyNumberFormat="1" applyFont="1" applyFill="1" applyBorder="1" applyAlignment="1" applyProtection="1" quotePrefix="1">
      <alignment horizontal="center"/>
      <protection/>
    </xf>
    <xf numFmtId="166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8" xfId="0" applyNumberFormat="1" applyFont="1" applyFill="1" applyBorder="1" applyAlignment="1" applyProtection="1">
      <alignment/>
      <protection/>
    </xf>
    <xf numFmtId="176" fontId="3" fillId="32" borderId="58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6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87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89" fontId="24" fillId="32" borderId="71" xfId="58" applyNumberFormat="1" applyFont="1" applyFill="1" applyBorder="1" applyAlignment="1">
      <alignment/>
      <protection/>
    </xf>
    <xf numFmtId="189" fontId="24" fillId="32" borderId="18" xfId="58" applyNumberFormat="1" applyFont="1" applyFill="1" applyBorder="1" applyAlignment="1">
      <alignment/>
      <protection/>
    </xf>
    <xf numFmtId="189" fontId="24" fillId="32" borderId="21" xfId="58" applyNumberFormat="1" applyFont="1" applyFill="1" applyBorder="1" applyAlignment="1">
      <alignment/>
      <protection/>
    </xf>
    <xf numFmtId="189" fontId="24" fillId="45" borderId="71" xfId="58" applyNumberFormat="1" applyFont="1" applyFill="1" applyBorder="1" applyAlignment="1">
      <alignment/>
      <protection/>
    </xf>
    <xf numFmtId="189" fontId="24" fillId="45" borderId="18" xfId="58" applyNumberFormat="1" applyFont="1" applyFill="1" applyBorder="1" applyAlignment="1">
      <alignment/>
      <protection/>
    </xf>
    <xf numFmtId="189" fontId="24" fillId="45" borderId="21" xfId="58" applyNumberFormat="1" applyFont="1" applyFill="1" applyBorder="1" applyAlignment="1">
      <alignment/>
      <protection/>
    </xf>
    <xf numFmtId="193" fontId="24" fillId="33" borderId="0" xfId="57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2" fontId="182" fillId="39" borderId="29" xfId="0" applyNumberFormat="1" applyFont="1" applyFill="1" applyBorder="1" applyAlignment="1" applyProtection="1">
      <alignment horizontal="center"/>
      <protection/>
    </xf>
    <xf numFmtId="172" fontId="183" fillId="39" borderId="29" xfId="0" applyNumberFormat="1" applyFont="1" applyFill="1" applyBorder="1" applyAlignment="1" applyProtection="1">
      <alignment horizontal="center"/>
      <protection/>
    </xf>
    <xf numFmtId="183" fontId="158" fillId="39" borderId="29" xfId="0" applyNumberFormat="1" applyFont="1" applyFill="1" applyBorder="1" applyAlignment="1" applyProtection="1" quotePrefix="1">
      <alignment horizontal="center"/>
      <protection/>
    </xf>
    <xf numFmtId="171" fontId="159" fillId="41" borderId="29" xfId="0" applyNumberFormat="1" applyFont="1" applyFill="1" applyBorder="1" applyAlignment="1" applyProtection="1" quotePrefix="1">
      <alignment horizontal="center"/>
      <protection/>
    </xf>
    <xf numFmtId="183" fontId="164" fillId="41" borderId="29" xfId="0" applyNumberFormat="1" applyFont="1" applyFill="1" applyBorder="1" applyAlignment="1" applyProtection="1" quotePrefix="1">
      <alignment horizontal="center"/>
      <protection/>
    </xf>
    <xf numFmtId="171" fontId="164" fillId="41" borderId="29" xfId="0" applyNumberFormat="1" applyFont="1" applyFill="1" applyBorder="1" applyAlignment="1" applyProtection="1" quotePrefix="1">
      <alignment horizontal="center"/>
      <protection/>
    </xf>
    <xf numFmtId="171" fontId="171" fillId="49" borderId="29" xfId="0" applyNumberFormat="1" applyFont="1" applyFill="1" applyBorder="1" applyAlignment="1" applyProtection="1" quotePrefix="1">
      <alignment horizontal="center"/>
      <protection/>
    </xf>
    <xf numFmtId="183" fontId="165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84" fillId="48" borderId="30" xfId="65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4" fillId="33" borderId="0" xfId="58" applyNumberFormat="1" applyFont="1" applyFill="1" applyBorder="1" applyAlignment="1">
      <alignment/>
      <protection/>
    </xf>
    <xf numFmtId="169" fontId="24" fillId="33" borderId="0" xfId="57" applyNumberFormat="1" applyFont="1" applyFill="1" applyBorder="1" applyAlignment="1">
      <alignment/>
      <protection/>
    </xf>
    <xf numFmtId="171" fontId="24" fillId="33" borderId="0" xfId="57" applyNumberFormat="1" applyFont="1" applyFill="1" applyBorder="1" applyAlignment="1">
      <alignment/>
      <protection/>
    </xf>
    <xf numFmtId="187" fontId="19" fillId="54" borderId="19" xfId="58" applyNumberFormat="1" applyFont="1" applyFill="1" applyBorder="1" applyAlignment="1">
      <alignment/>
      <protection/>
    </xf>
    <xf numFmtId="187" fontId="19" fillId="54" borderId="71" xfId="58" applyNumberFormat="1" applyFont="1" applyFill="1" applyBorder="1" applyAlignment="1">
      <alignment/>
      <protection/>
    </xf>
    <xf numFmtId="187" fontId="19" fillId="54" borderId="20" xfId="58" applyNumberFormat="1" applyFont="1" applyFill="1" applyBorder="1" applyAlignment="1">
      <alignment/>
      <protection/>
    </xf>
    <xf numFmtId="187" fontId="19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5" fillId="39" borderId="104" xfId="0" applyNumberFormat="1" applyFont="1" applyFill="1" applyBorder="1" applyAlignment="1" applyProtection="1" quotePrefix="1">
      <alignment horizontal="center"/>
      <protection/>
    </xf>
    <xf numFmtId="203" fontId="159" fillId="41" borderId="104" xfId="0" applyNumberFormat="1" applyFont="1" applyFill="1" applyBorder="1" applyAlignment="1" applyProtection="1" quotePrefix="1">
      <alignment horizontal="center"/>
      <protection/>
    </xf>
    <xf numFmtId="203" fontId="171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6" fillId="32" borderId="47" xfId="0" applyNumberFormat="1" applyFont="1" applyFill="1" applyBorder="1" applyAlignment="1" applyProtection="1">
      <alignment horizontal="center"/>
      <protection locked="0"/>
    </xf>
    <xf numFmtId="203" fontId="185" fillId="39" borderId="29" xfId="0" applyNumberFormat="1" applyFont="1" applyFill="1" applyBorder="1" applyAlignment="1" applyProtection="1">
      <alignment horizontal="center"/>
      <protection/>
    </xf>
    <xf numFmtId="203" fontId="159" fillId="41" borderId="29" xfId="0" applyNumberFormat="1" applyFont="1" applyFill="1" applyBorder="1" applyAlignment="1" applyProtection="1" quotePrefix="1">
      <alignment horizontal="center"/>
      <protection/>
    </xf>
    <xf numFmtId="203" fontId="171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7" fillId="33" borderId="47" xfId="0" applyNumberFormat="1" applyFont="1" applyFill="1" applyBorder="1" applyAlignment="1" applyProtection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92" fontId="24" fillId="33" borderId="0" xfId="57" applyNumberFormat="1" applyFont="1" applyFill="1" applyBorder="1" applyAlignment="1">
      <alignment horizontal="center"/>
      <protection/>
    </xf>
    <xf numFmtId="4" fontId="20" fillId="37" borderId="0" xfId="58" applyNumberFormat="1" applyFont="1" applyFill="1" applyAlignment="1" applyProtection="1">
      <alignment vertical="center"/>
      <protection/>
    </xf>
    <xf numFmtId="0" fontId="20" fillId="37" borderId="0" xfId="58" applyFont="1" applyFill="1" applyBorder="1" applyAlignment="1" applyProtection="1">
      <alignment vertical="center"/>
      <protection/>
    </xf>
    <xf numFmtId="0" fontId="20" fillId="37" borderId="0" xfId="58" applyFont="1" applyFill="1">
      <alignment/>
      <protection/>
    </xf>
    <xf numFmtId="0" fontId="20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68" fontId="24" fillId="32" borderId="0" xfId="57" applyNumberFormat="1" applyFont="1" applyFill="1" applyBorder="1" applyAlignment="1">
      <alignment horizontal="left"/>
      <protection/>
    </xf>
    <xf numFmtId="168" fontId="27" fillId="45" borderId="0" xfId="57" applyNumberFormat="1" applyFont="1" applyFill="1" applyBorder="1" applyAlignment="1">
      <alignment horizontal="center"/>
      <protection/>
    </xf>
    <xf numFmtId="171" fontId="27" fillId="45" borderId="0" xfId="57" applyNumberFormat="1" applyFont="1" applyFill="1" applyBorder="1" applyAlignment="1">
      <alignment horizontal="center"/>
      <protection/>
    </xf>
    <xf numFmtId="16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4" fillId="45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0" fontId="19" fillId="32" borderId="71" xfId="57" applyNumberFormat="1" applyFont="1" applyFill="1" applyBorder="1" applyAlignment="1">
      <alignment horizontal="center"/>
      <protection/>
    </xf>
    <xf numFmtId="170" fontId="19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69" fontId="69" fillId="33" borderId="0" xfId="57" applyNumberFormat="1" applyFont="1" applyFill="1" applyBorder="1" applyAlignment="1">
      <alignment/>
      <protection/>
    </xf>
    <xf numFmtId="170" fontId="69" fillId="38" borderId="0" xfId="57" applyNumberFormat="1" applyFont="1" applyFill="1" applyBorder="1" applyAlignment="1">
      <alignment/>
      <protection/>
    </xf>
    <xf numFmtId="202" fontId="69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69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69" fontId="69" fillId="32" borderId="20" xfId="57" applyNumberFormat="1" applyFont="1" applyFill="1" applyBorder="1">
      <alignment/>
      <protection/>
    </xf>
    <xf numFmtId="168" fontId="69" fillId="32" borderId="20" xfId="57" applyNumberFormat="1" applyFont="1" applyFill="1" applyBorder="1" applyAlignment="1">
      <alignment horizontal="left"/>
      <protection/>
    </xf>
    <xf numFmtId="3" fontId="9" fillId="33" borderId="133" xfId="57" applyNumberFormat="1" applyFont="1" applyFill="1" applyBorder="1" applyAlignment="1" applyProtection="1">
      <alignment horizontal="right" vertical="center"/>
      <protection locked="0"/>
    </xf>
    <xf numFmtId="3" fontId="9" fillId="33" borderId="134" xfId="57" applyNumberFormat="1" applyFont="1" applyFill="1" applyBorder="1" applyAlignment="1" applyProtection="1">
      <alignment horizontal="right" vertical="center"/>
      <protection locked="0"/>
    </xf>
    <xf numFmtId="3" fontId="9" fillId="33" borderId="135" xfId="57" applyNumberFormat="1" applyFont="1" applyFill="1" applyBorder="1" applyAlignment="1" applyProtection="1">
      <alignment horizontal="right" vertical="center"/>
      <protection locked="0"/>
    </xf>
    <xf numFmtId="3" fontId="188" fillId="45" borderId="136" xfId="57" applyNumberFormat="1" applyFont="1" applyFill="1" applyBorder="1" applyAlignment="1" applyProtection="1">
      <alignment horizontal="right" vertical="center"/>
      <protection locked="0"/>
    </xf>
    <xf numFmtId="3" fontId="9" fillId="33" borderId="137" xfId="57" applyNumberFormat="1" applyFont="1" applyFill="1" applyBorder="1" applyAlignment="1" applyProtection="1">
      <alignment horizontal="right" vertical="center"/>
      <protection locked="0"/>
    </xf>
    <xf numFmtId="3" fontId="9" fillId="33" borderId="138" xfId="57" applyNumberFormat="1" applyFont="1" applyFill="1" applyBorder="1" applyAlignment="1" applyProtection="1">
      <alignment horizontal="right" vertical="center"/>
      <protection locked="0"/>
    </xf>
    <xf numFmtId="192" fontId="24" fillId="33" borderId="0" xfId="57" applyNumberFormat="1" applyFont="1" applyFill="1" applyBorder="1" applyAlignment="1">
      <alignment horizontal="center"/>
      <protection/>
    </xf>
    <xf numFmtId="194" fontId="59" fillId="32" borderId="19" xfId="58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center"/>
      <protection/>
    </xf>
    <xf numFmtId="190" fontId="59" fillId="45" borderId="0" xfId="58" applyNumberFormat="1" applyFont="1" applyFill="1" applyBorder="1" applyAlignment="1">
      <alignment horizontal="center"/>
      <protection/>
    </xf>
    <xf numFmtId="195" fontId="59" fillId="32" borderId="0" xfId="58" applyNumberFormat="1" applyFont="1" applyFill="1" applyBorder="1" applyAlignment="1">
      <alignment horizontal="center"/>
      <protection/>
    </xf>
    <xf numFmtId="196" fontId="59" fillId="32" borderId="20" xfId="58" applyNumberFormat="1" applyFont="1" applyFill="1" applyBorder="1" applyAlignment="1">
      <alignment horizontal="center"/>
      <protection/>
    </xf>
    <xf numFmtId="187" fontId="24" fillId="33" borderId="0" xfId="58" applyNumberFormat="1" applyFont="1" applyFill="1" applyBorder="1" applyAlignment="1">
      <alignment horizontal="center"/>
      <protection/>
    </xf>
    <xf numFmtId="187" fontId="24" fillId="45" borderId="0" xfId="58" applyNumberFormat="1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left"/>
      <protection/>
    </xf>
    <xf numFmtId="195" fontId="59" fillId="45" borderId="0" xfId="58" applyNumberFormat="1" applyFont="1" applyFill="1" applyBorder="1" applyAlignment="1">
      <alignment horizontal="center"/>
      <protection/>
    </xf>
    <xf numFmtId="196" fontId="59" fillId="45" borderId="20" xfId="58" applyNumberFormat="1" applyFont="1" applyFill="1" applyBorder="1" applyAlignment="1">
      <alignment horizontal="center"/>
      <protection/>
    </xf>
    <xf numFmtId="194" fontId="59" fillId="45" borderId="19" xfId="58" applyNumberFormat="1" applyFont="1" applyFill="1" applyBorder="1" applyAlignment="1">
      <alignment horizontal="center"/>
      <protection/>
    </xf>
    <xf numFmtId="169" fontId="69" fillId="33" borderId="0" xfId="57" applyNumberFormat="1" applyFont="1" applyFill="1" applyBorder="1" applyAlignment="1">
      <alignment horizontal="left"/>
      <protection/>
    </xf>
    <xf numFmtId="202" fontId="24" fillId="33" borderId="0" xfId="58" applyNumberFormat="1" applyFont="1" applyFill="1" applyBorder="1" applyAlignment="1">
      <alignment horizontal="center"/>
      <protection/>
    </xf>
    <xf numFmtId="171" fontId="24" fillId="45" borderId="0" xfId="57" applyNumberFormat="1" applyFont="1" applyFill="1" applyBorder="1" applyAlignment="1">
      <alignment horizontal="center"/>
      <protection/>
    </xf>
    <xf numFmtId="187" fontId="24" fillId="32" borderId="0" xfId="58" applyNumberFormat="1" applyFont="1" applyFill="1" applyBorder="1" applyAlignment="1">
      <alignment horizontal="center"/>
      <protection/>
    </xf>
    <xf numFmtId="189" fontId="59" fillId="45" borderId="19" xfId="58" applyNumberFormat="1" applyFont="1" applyFill="1" applyBorder="1" applyAlignment="1">
      <alignment horizontal="center"/>
      <protection/>
    </xf>
    <xf numFmtId="191" fontId="59" fillId="32" borderId="20" xfId="58" applyNumberFormat="1" applyFont="1" applyFill="1" applyBorder="1" applyAlignment="1">
      <alignment horizontal="center"/>
      <protection/>
    </xf>
    <xf numFmtId="185" fontId="155" fillId="40" borderId="26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69" fontId="24" fillId="45" borderId="0" xfId="57" applyNumberFormat="1" applyFont="1" applyFill="1" applyBorder="1" applyAlignment="1">
      <alignment horizontal="center"/>
      <protection/>
    </xf>
    <xf numFmtId="170" fontId="69" fillId="38" borderId="0" xfId="57" applyNumberFormat="1" applyFont="1" applyFill="1" applyBorder="1" applyAlignment="1">
      <alignment horizontal="left"/>
      <protection/>
    </xf>
    <xf numFmtId="191" fontId="59" fillId="45" borderId="20" xfId="58" applyNumberFormat="1" applyFont="1" applyFill="1" applyBorder="1" applyAlignment="1">
      <alignment horizontal="center"/>
      <protection/>
    </xf>
    <xf numFmtId="189" fontId="59" fillId="32" borderId="19" xfId="58" applyNumberFormat="1" applyFont="1" applyFill="1" applyBorder="1" applyAlignment="1">
      <alignment horizontal="center"/>
      <protection/>
    </xf>
    <xf numFmtId="190" fontId="59" fillId="32" borderId="0" xfId="58" applyNumberFormat="1" applyFont="1" applyFill="1" applyBorder="1" applyAlignment="1">
      <alignment horizontal="center"/>
      <protection/>
    </xf>
    <xf numFmtId="168" fontId="24" fillId="32" borderId="0" xfId="57" applyNumberFormat="1" applyFont="1" applyFill="1" applyBorder="1" applyAlignment="1">
      <alignment horizontal="center"/>
      <protection/>
    </xf>
    <xf numFmtId="170" fontId="69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69" fillId="33" borderId="0" xfId="57" applyNumberFormat="1" applyFont="1" applyFill="1" applyBorder="1" applyAlignment="1">
      <alignment horizontal="center"/>
      <protection/>
    </xf>
    <xf numFmtId="170" fontId="69" fillId="38" borderId="0" xfId="57" applyNumberFormat="1" applyFont="1" applyFill="1" applyBorder="1" applyAlignment="1">
      <alignment horizontal="center"/>
      <protection/>
    </xf>
    <xf numFmtId="0" fontId="189" fillId="55" borderId="0" xfId="63" applyFont="1" applyFill="1" applyBorder="1" applyAlignment="1">
      <alignment horizontal="center"/>
      <protection/>
    </xf>
    <xf numFmtId="200" fontId="190" fillId="55" borderId="0" xfId="63" applyNumberFormat="1" applyFont="1" applyFill="1" applyBorder="1" applyAlignment="1">
      <alignment horizontal="center"/>
      <protection/>
    </xf>
    <xf numFmtId="202" fontId="24" fillId="33" borderId="0" xfId="58" applyNumberFormat="1" applyFont="1" applyFill="1" applyBorder="1" applyAlignment="1">
      <alignment horizontal="left"/>
      <protection/>
    </xf>
    <xf numFmtId="198" fontId="191" fillId="48" borderId="45" xfId="65" applyNumberFormat="1" applyFont="1" applyFill="1" applyBorder="1" applyAlignment="1" applyProtection="1">
      <alignment horizontal="left"/>
      <protection/>
    </xf>
    <xf numFmtId="198" fontId="191" fillId="48" borderId="31" xfId="65" applyNumberFormat="1" applyFont="1" applyFill="1" applyBorder="1" applyAlignment="1" applyProtection="1">
      <alignment horizontal="left"/>
      <protection/>
    </xf>
    <xf numFmtId="0" fontId="190" fillId="55" borderId="0" xfId="57" applyFont="1" applyFill="1" applyAlignment="1" applyProtection="1" quotePrefix="1">
      <alignment horizontal="center"/>
      <protection/>
    </xf>
    <xf numFmtId="201" fontId="190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88" fillId="33" borderId="49" xfId="65" applyNumberFormat="1" applyFont="1" applyFill="1" applyBorder="1" applyAlignment="1" applyProtection="1">
      <alignment horizontal="center"/>
      <protection/>
    </xf>
    <xf numFmtId="38" fontId="188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88" fillId="33" borderId="51" xfId="65" applyNumberFormat="1" applyFont="1" applyFill="1" applyBorder="1" applyAlignment="1" applyProtection="1">
      <alignment horizontal="center"/>
      <protection/>
    </xf>
    <xf numFmtId="38" fontId="188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179" fontId="155" fillId="33" borderId="30" xfId="62" applyNumberFormat="1" applyFont="1" applyFill="1" applyBorder="1" applyAlignment="1" applyProtection="1" quotePrefix="1">
      <alignment horizontal="center" vertical="center"/>
      <protection locked="0"/>
    </xf>
    <xf numFmtId="179" fontId="155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30" xfId="53" applyFill="1" applyBorder="1" applyAlignment="1" applyProtection="1">
      <alignment horizontal="center" vertical="center"/>
      <protection locked="0"/>
    </xf>
    <xf numFmtId="0" fontId="192" fillId="36" borderId="45" xfId="53" applyFont="1" applyFill="1" applyBorder="1" applyAlignment="1" applyProtection="1">
      <alignment horizontal="center" vertical="center"/>
      <protection locked="0"/>
    </xf>
    <xf numFmtId="0" fontId="192" fillId="36" borderId="31" xfId="53" applyFont="1" applyFill="1" applyBorder="1" applyAlignment="1" applyProtection="1">
      <alignment horizontal="center" vertical="center"/>
      <protection locked="0"/>
    </xf>
    <xf numFmtId="38" fontId="144" fillId="33" borderId="30" xfId="53" applyNumberFormat="1" applyFill="1" applyBorder="1" applyAlignment="1" applyProtection="1">
      <alignment horizontal="center" vertical="center"/>
      <protection locked="0"/>
    </xf>
    <xf numFmtId="38" fontId="193" fillId="33" borderId="45" xfId="53" applyNumberFormat="1" applyFont="1" applyFill="1" applyBorder="1" applyAlignment="1" applyProtection="1">
      <alignment horizontal="center" vertical="center"/>
      <protection locked="0"/>
    </xf>
    <xf numFmtId="38" fontId="193" fillId="33" borderId="31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77" fontId="159" fillId="33" borderId="30" xfId="60" applyNumberFormat="1" applyFont="1" applyFill="1" applyBorder="1" applyAlignment="1" applyProtection="1">
      <alignment horizontal="center"/>
      <protection/>
    </xf>
    <xf numFmtId="177" fontId="159" fillId="33" borderId="45" xfId="60" applyNumberFormat="1" applyFont="1" applyFill="1" applyBorder="1" applyAlignment="1" applyProtection="1">
      <alignment horizontal="center"/>
      <protection/>
    </xf>
    <xf numFmtId="177" fontId="159" fillId="33" borderId="31" xfId="60" applyNumberFormat="1" applyFont="1" applyFill="1" applyBorder="1" applyAlignment="1" applyProtection="1">
      <alignment horizontal="center"/>
      <protection/>
    </xf>
    <xf numFmtId="0" fontId="56" fillId="50" borderId="139" xfId="64" applyFont="1" applyFill="1" applyBorder="1" applyAlignment="1" applyProtection="1" quotePrefix="1">
      <alignment horizontal="center" wrapText="1"/>
      <protection locked="0"/>
    </xf>
    <xf numFmtId="0" fontId="56" fillId="50" borderId="55" xfId="64" applyFont="1" applyFill="1" applyBorder="1" applyAlignment="1" applyProtection="1">
      <alignment horizontal="center" wrapText="1"/>
      <protection locked="0"/>
    </xf>
    <xf numFmtId="0" fontId="56" fillId="50" borderId="140" xfId="64" applyFont="1" applyFill="1" applyBorder="1" applyAlignment="1" applyProtection="1">
      <alignment horizontal="center" wrapText="1"/>
      <protection locked="0"/>
    </xf>
    <xf numFmtId="0" fontId="195" fillId="32" borderId="47" xfId="57" applyFont="1" applyFill="1" applyBorder="1" applyAlignment="1" applyProtection="1" quotePrefix="1">
      <alignment horizontal="center"/>
      <protection/>
    </xf>
    <xf numFmtId="0" fontId="196" fillId="38" borderId="28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0" fontId="197" fillId="33" borderId="63" xfId="61" applyFont="1" applyFill="1" applyBorder="1" applyAlignment="1" applyProtection="1">
      <alignment horizontal="center"/>
      <protection/>
    </xf>
    <xf numFmtId="0" fontId="197" fillId="33" borderId="0" xfId="61" applyFont="1" applyFill="1" applyBorder="1" applyAlignment="1" applyProtection="1">
      <alignment horizontal="center"/>
      <protection/>
    </xf>
    <xf numFmtId="0" fontId="197" fillId="33" borderId="32" xfId="61" applyFont="1" applyFill="1" applyBorder="1" applyAlignment="1" applyProtection="1">
      <alignment horizontal="center"/>
      <protection/>
    </xf>
    <xf numFmtId="0" fontId="168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7" fontId="198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24" fillId="54" borderId="45" xfId="65" applyNumberFormat="1" applyFont="1" applyFill="1" applyBorder="1" applyAlignment="1" applyProtection="1">
      <alignment horizontal="center"/>
      <protection/>
    </xf>
    <xf numFmtId="38" fontId="24" fillId="54" borderId="46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5" xfId="65" applyNumberFormat="1" applyFont="1" applyFill="1" applyBorder="1" applyAlignment="1" applyProtection="1">
      <alignment horizontal="center"/>
      <protection/>
    </xf>
    <xf numFmtId="38" fontId="24" fillId="43" borderId="56" xfId="65" applyNumberFormat="1" applyFont="1" applyFill="1" applyBorder="1" applyAlignment="1" applyProtection="1">
      <alignment horizontal="center"/>
      <protection/>
    </xf>
    <xf numFmtId="38" fontId="24" fillId="43" borderId="61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43" borderId="62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62" fillId="46" borderId="67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60" xfId="65" applyNumberFormat="1" applyFont="1" applyFill="1" applyBorder="1" applyAlignment="1" applyProtection="1">
      <alignment horizontal="center"/>
      <protection/>
    </xf>
    <xf numFmtId="38" fontId="48" fillId="33" borderId="64" xfId="65" applyNumberFormat="1" applyFont="1" applyFill="1" applyBorder="1" applyAlignment="1" applyProtection="1">
      <alignment horizontal="center"/>
      <protection/>
    </xf>
    <xf numFmtId="38" fontId="48" fillId="33" borderId="47" xfId="65" applyNumberFormat="1" applyFont="1" applyFill="1" applyBorder="1" applyAlignment="1" applyProtection="1">
      <alignment horizontal="center"/>
      <protection/>
    </xf>
    <xf numFmtId="38" fontId="48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38" fontId="181" fillId="43" borderId="45" xfId="65" applyNumberFormat="1" applyFont="1" applyFill="1" applyBorder="1" applyAlignment="1" applyProtection="1">
      <alignment horizontal="center"/>
      <protection/>
    </xf>
    <xf numFmtId="38" fontId="181" fillId="43" borderId="46" xfId="65" applyNumberFormat="1" applyFont="1" applyFill="1" applyBorder="1" applyAlignment="1" applyProtection="1">
      <alignment horizontal="center"/>
      <protection/>
    </xf>
    <xf numFmtId="178" fontId="199" fillId="45" borderId="30" xfId="57" applyNumberFormat="1" applyFont="1" applyFill="1" applyBorder="1" applyAlignment="1" applyProtection="1">
      <alignment horizontal="center" vertical="center"/>
      <protection locked="0"/>
    </xf>
    <xf numFmtId="178" fontId="199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199" fontId="200" fillId="32" borderId="0" xfId="0" applyNumberFormat="1" applyFont="1" applyFill="1" applyAlignment="1" applyProtection="1">
      <alignment horizontal="center"/>
      <protection/>
    </xf>
    <xf numFmtId="199" fontId="200" fillId="54" borderId="0" xfId="0" applyNumberFormat="1" applyFont="1" applyFill="1" applyAlignment="1" applyProtection="1">
      <alignment horizontal="center"/>
      <protection/>
    </xf>
    <xf numFmtId="0" fontId="8" fillId="36" borderId="139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40" xfId="64" applyFont="1" applyFill="1" applyBorder="1" applyAlignment="1" applyProtection="1">
      <alignment horizontal="center" wrapText="1"/>
      <protection/>
    </xf>
    <xf numFmtId="179" fontId="8" fillId="33" borderId="30" xfId="62" applyNumberFormat="1" applyFont="1" applyFill="1" applyBorder="1" applyAlignment="1" applyProtection="1" quotePrefix="1">
      <alignment horizontal="center" vertical="center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8" fontId="199" fillId="45" borderId="30" xfId="57" applyNumberFormat="1" applyFont="1" applyFill="1" applyBorder="1" applyAlignment="1" applyProtection="1">
      <alignment horizontal="center" vertical="center"/>
      <protection/>
    </xf>
    <xf numFmtId="178" fontId="199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8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1" fillId="36" borderId="30" xfId="53" applyFont="1" applyFill="1" applyBorder="1" applyAlignment="1" applyProtection="1">
      <alignment horizontal="center" vertical="center"/>
      <protection/>
    </xf>
    <xf numFmtId="0" fontId="201" fillId="36" borderId="45" xfId="53" applyFont="1" applyFill="1" applyBorder="1" applyAlignment="1" applyProtection="1">
      <alignment horizontal="center" vertical="center"/>
      <protection/>
    </xf>
    <xf numFmtId="0" fontId="201" fillId="36" borderId="31" xfId="53" applyFont="1" applyFill="1" applyBorder="1" applyAlignment="1" applyProtection="1">
      <alignment horizontal="center" vertical="center"/>
      <protection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8" fillId="33" borderId="0" xfId="60" applyNumberFormat="1" applyFont="1" applyFill="1" applyBorder="1" applyAlignment="1" applyProtection="1">
      <alignment horizontal="center"/>
      <protection/>
    </xf>
    <xf numFmtId="0" fontId="195" fillId="33" borderId="47" xfId="57" applyFont="1" applyFill="1" applyBorder="1" applyAlignment="1" applyProtection="1" quotePrefix="1">
      <alignment horizontal="center"/>
      <protection/>
    </xf>
    <xf numFmtId="177" fontId="4" fillId="32" borderId="30" xfId="60" applyNumberFormat="1" applyFont="1" applyFill="1" applyBorder="1" applyAlignment="1" applyProtection="1">
      <alignment horizontal="center"/>
      <protection/>
    </xf>
    <xf numFmtId="177" fontId="4" fillId="32" borderId="45" xfId="60" applyNumberFormat="1" applyFont="1" applyFill="1" applyBorder="1" applyAlignment="1" applyProtection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0" fontId="197" fillId="33" borderId="118" xfId="61" applyFont="1" applyFill="1" applyBorder="1" applyAlignment="1" applyProtection="1">
      <alignment horizontal="center"/>
      <protection/>
    </xf>
    <xf numFmtId="0" fontId="197" fillId="33" borderId="141" xfId="61" applyFont="1" applyFill="1" applyBorder="1" applyAlignment="1" applyProtection="1">
      <alignment horizontal="center"/>
      <protection/>
    </xf>
    <xf numFmtId="200" fontId="202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72">
        <f>+'Cash-Flow-2021-Leva'!P5</f>
        <v>2021</v>
      </c>
      <c r="M2" s="672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9">
        <f>+'Cash-Flow-2021-Leva'!P5</f>
        <v>2021</v>
      </c>
      <c r="I7" s="679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81">
        <f>+'Cash-Flow-2021-Leva'!P5</f>
        <v>2021</v>
      </c>
      <c r="G30" s="681"/>
      <c r="H30" s="681"/>
      <c r="I30" s="681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55">
        <f>+H7</f>
        <v>2021</v>
      </c>
      <c r="H37" s="655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74">
        <f>+F30-1</f>
        <v>2020</v>
      </c>
      <c r="M40" s="674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73">
        <f>+H7-1</f>
        <v>2020</v>
      </c>
      <c r="H42" s="673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60"/>
      <c r="L55" s="660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9">
        <f>+H7</f>
        <v>2021</v>
      </c>
      <c r="L56" s="669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55">
        <f>+H7</f>
        <v>2021</v>
      </c>
      <c r="J57" s="655"/>
      <c r="K57" s="616" t="s">
        <v>388</v>
      </c>
      <c r="L57" s="653">
        <f>+H7</f>
        <v>2021</v>
      </c>
      <c r="M57" s="653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7">
        <f>+H7</f>
        <v>2021</v>
      </c>
      <c r="F59" s="677"/>
      <c r="G59" s="677"/>
      <c r="H59" s="677"/>
      <c r="I59" s="677"/>
      <c r="J59" s="677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8">
        <f>+H7</f>
        <v>2021</v>
      </c>
      <c r="F60" s="678"/>
      <c r="G60" s="678"/>
      <c r="H60" s="678"/>
      <c r="I60" s="678"/>
      <c r="J60" s="678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71">
        <f>+H7</f>
        <v>2021</v>
      </c>
      <c r="F61" s="671"/>
      <c r="G61" s="671"/>
      <c r="H61" s="671"/>
      <c r="I61" s="671"/>
      <c r="J61" s="671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6">
        <f>+H7</f>
        <v>2021</v>
      </c>
      <c r="J75" s="656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60"/>
      <c r="L80" s="660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9">
        <f>+H7</f>
        <v>2021</v>
      </c>
      <c r="L81" s="669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55">
        <f>+H7</f>
        <v>2021</v>
      </c>
      <c r="J82" s="655"/>
      <c r="K82" s="616" t="s">
        <v>405</v>
      </c>
      <c r="L82" s="653">
        <f>+H7</f>
        <v>2021</v>
      </c>
      <c r="M82" s="653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54">
        <f>+H7</f>
        <v>2021</v>
      </c>
      <c r="F84" s="654"/>
      <c r="G84" s="654"/>
      <c r="H84" s="654"/>
      <c r="I84" s="654"/>
      <c r="J84" s="654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58">
        <f>+H7</f>
        <v>2021</v>
      </c>
      <c r="F85" s="658"/>
      <c r="G85" s="658"/>
      <c r="H85" s="658"/>
      <c r="I85" s="658"/>
      <c r="J85" s="658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59">
        <f>+H7</f>
        <v>2021</v>
      </c>
      <c r="F86" s="659"/>
      <c r="G86" s="659"/>
      <c r="H86" s="659"/>
      <c r="I86" s="659"/>
      <c r="J86" s="659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60"/>
      <c r="L96" s="660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61">
        <f>+H7-1</f>
        <v>2020</v>
      </c>
      <c r="L97" s="661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8">
        <f>+H7-1</f>
        <v>2020</v>
      </c>
      <c r="J98" s="668"/>
      <c r="K98" s="616" t="s">
        <v>388</v>
      </c>
      <c r="L98" s="653">
        <f>+H7</f>
        <v>2021</v>
      </c>
      <c r="M98" s="653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70">
        <f>+H7-1</f>
        <v>2020</v>
      </c>
      <c r="F100" s="670"/>
      <c r="G100" s="670"/>
      <c r="H100" s="670"/>
      <c r="I100" s="670"/>
      <c r="J100" s="670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57">
        <f>+H7-1</f>
        <v>2020</v>
      </c>
      <c r="F101" s="657"/>
      <c r="G101" s="657"/>
      <c r="H101" s="657"/>
      <c r="I101" s="657"/>
      <c r="J101" s="657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76">
        <f>+H7-1</f>
        <v>2020</v>
      </c>
      <c r="F102" s="676"/>
      <c r="G102" s="676"/>
      <c r="H102" s="676"/>
      <c r="I102" s="676"/>
      <c r="J102" s="676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6">
        <f>+H7</f>
        <v>2021</v>
      </c>
      <c r="J116" s="656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60"/>
      <c r="L121" s="660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61">
        <f>+H7-1</f>
        <v>2020</v>
      </c>
      <c r="L122" s="661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8">
        <f>+H7-1</f>
        <v>2020</v>
      </c>
      <c r="J123" s="668"/>
      <c r="K123" s="616" t="s">
        <v>405</v>
      </c>
      <c r="L123" s="653">
        <f>+H7</f>
        <v>2021</v>
      </c>
      <c r="M123" s="653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65">
        <f>+H7-1</f>
        <v>2020</v>
      </c>
      <c r="F125" s="665"/>
      <c r="G125" s="665"/>
      <c r="H125" s="665"/>
      <c r="I125" s="665"/>
      <c r="J125" s="665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63">
        <f>+H7-1</f>
        <v>2020</v>
      </c>
      <c r="F126" s="663"/>
      <c r="G126" s="663"/>
      <c r="H126" s="663"/>
      <c r="I126" s="663"/>
      <c r="J126" s="663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64">
        <f>+H7-1</f>
        <v>2020</v>
      </c>
      <c r="F127" s="664"/>
      <c r="G127" s="664"/>
      <c r="H127" s="664"/>
      <c r="I127" s="664"/>
      <c r="J127" s="664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67">
        <f>+H7</f>
        <v>2021</v>
      </c>
      <c r="K136" s="667"/>
      <c r="L136" s="667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55">
        <f>+H7</f>
        <v>2021</v>
      </c>
      <c r="I137" s="655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6">
        <f>+H7</f>
        <v>2021</v>
      </c>
      <c r="J138" s="656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87">
        <f>+H7</f>
        <v>2021</v>
      </c>
      <c r="K144" s="687"/>
      <c r="L144" s="687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55">
        <f>+H14</f>
        <v>2021</v>
      </c>
      <c r="J145" s="655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62">
        <f>+H7</f>
        <v>2021</v>
      </c>
      <c r="L160" s="662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85" t="s">
        <v>331</v>
      </c>
      <c r="G164" s="685"/>
      <c r="H164" s="685"/>
      <c r="I164" s="685"/>
      <c r="J164" s="685"/>
      <c r="K164" s="685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85" t="s">
        <v>332</v>
      </c>
      <c r="G165" s="685"/>
      <c r="H165" s="685"/>
      <c r="I165" s="685"/>
      <c r="J165" s="685"/>
      <c r="K165" s="685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82">
        <f>+'Cash-Flow-2021-Leva'!P5</f>
        <v>2021</v>
      </c>
      <c r="G167" s="682"/>
      <c r="H167" s="682"/>
      <c r="I167" s="682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84">
        <f>+'Cash-Flow-2021-Leva'!P5</f>
        <v>2021</v>
      </c>
      <c r="H168" s="684"/>
      <c r="I168" s="684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83">
        <f>+'Cash-Flow-2021-Leva'!P5</f>
        <v>2021</v>
      </c>
      <c r="G169" s="683"/>
      <c r="H169" s="683"/>
      <c r="I169" s="683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83">
        <f>+'Cash-Flow-2021-Leva'!P5</f>
        <v>2021</v>
      </c>
      <c r="F185" s="683"/>
      <c r="G185" s="683"/>
      <c r="H185" s="683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6">
        <f>+'Cash-Flow-2021-Leva'!P5</f>
        <v>2021</v>
      </c>
      <c r="L186" s="666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75">
        <f>H7</f>
        <v>2021</v>
      </c>
      <c r="E189" s="675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85" t="s">
        <v>331</v>
      </c>
      <c r="G191" s="685"/>
      <c r="H191" s="685"/>
      <c r="I191" s="685"/>
      <c r="J191" s="685"/>
      <c r="K191" s="685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6">
        <f>+L2</f>
        <v>2021</v>
      </c>
      <c r="G192" s="686"/>
      <c r="H192" s="686"/>
      <c r="I192" s="686"/>
      <c r="J192" s="686"/>
      <c r="K192" s="686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80">
        <f>+'Cash-Flow-2021-Leva'!P5</f>
        <v>2021</v>
      </c>
      <c r="I194" s="680"/>
      <c r="J194" s="680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22" t="s">
        <v>455</v>
      </c>
      <c r="C1" s="723"/>
      <c r="D1" s="723"/>
      <c r="E1" s="723"/>
      <c r="F1" s="724"/>
      <c r="G1" s="436" t="s">
        <v>244</v>
      </c>
      <c r="H1" s="429"/>
      <c r="I1" s="710">
        <v>121082521</v>
      </c>
      <c r="J1" s="711"/>
      <c r="K1" s="430"/>
      <c r="L1" s="438" t="s">
        <v>245</v>
      </c>
      <c r="M1" s="434"/>
      <c r="N1" s="430"/>
      <c r="O1" s="438" t="s">
        <v>239</v>
      </c>
      <c r="P1" s="455"/>
      <c r="Q1" s="431"/>
      <c r="R1" s="347" t="s">
        <v>277</v>
      </c>
      <c r="S1" s="795"/>
      <c r="T1" s="796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42" t="s">
        <v>240</v>
      </c>
      <c r="C2" s="743"/>
      <c r="D2" s="743"/>
      <c r="E2" s="743"/>
      <c r="F2" s="744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6" t="s">
        <v>250</v>
      </c>
      <c r="C3" s="727"/>
      <c r="D3" s="727"/>
      <c r="E3" s="727"/>
      <c r="F3" s="728"/>
      <c r="G3" s="437" t="s">
        <v>238</v>
      </c>
      <c r="H3" s="715"/>
      <c r="I3" s="716"/>
      <c r="J3" s="716"/>
      <c r="K3" s="717"/>
      <c r="L3" s="28" t="s">
        <v>246</v>
      </c>
      <c r="M3" s="712"/>
      <c r="N3" s="713"/>
      <c r="O3" s="713"/>
      <c r="P3" s="714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90">
        <f>+IF(+O174&gt;0,"НЕРАВНЕНИЕ: Касов отчет - Баланс!",0)</f>
        <v>0</v>
      </c>
      <c r="C5" s="690"/>
      <c r="D5" s="746" t="s">
        <v>243</v>
      </c>
      <c r="E5" s="746"/>
      <c r="F5" s="746"/>
      <c r="G5" s="746"/>
      <c r="H5" s="746"/>
      <c r="I5" s="746"/>
      <c r="J5" s="746"/>
      <c r="K5" s="746"/>
      <c r="L5" s="746"/>
      <c r="M5" s="20"/>
      <c r="N5" s="20"/>
      <c r="O5" s="24" t="s">
        <v>17</v>
      </c>
      <c r="P5" s="453">
        <v>2021</v>
      </c>
      <c r="Q5" s="20"/>
      <c r="R5" s="718" t="s">
        <v>180</v>
      </c>
      <c r="S5" s="718"/>
      <c r="T5" s="718"/>
      <c r="U5" s="15"/>
    </row>
    <row r="6" spans="1:28" s="3" customFormat="1" ht="17.25" customHeight="1">
      <c r="A6" s="15"/>
      <c r="B6" s="691">
        <f>+IF(B5=0,0,P5)</f>
        <v>0</v>
      </c>
      <c r="C6" s="691"/>
      <c r="D6" s="746" t="s">
        <v>242</v>
      </c>
      <c r="E6" s="746"/>
      <c r="F6" s="746"/>
      <c r="G6" s="746"/>
      <c r="H6" s="746"/>
      <c r="I6" s="746"/>
      <c r="J6" s="746"/>
      <c r="K6" s="746"/>
      <c r="L6" s="746"/>
      <c r="M6" s="21"/>
      <c r="N6" s="16"/>
      <c r="O6" s="15"/>
      <c r="P6" s="15"/>
      <c r="Q6" s="13"/>
      <c r="R6" s="745">
        <f>+P4</f>
        <v>0</v>
      </c>
      <c r="S6" s="745"/>
      <c r="T6" s="745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25" t="str">
        <f>+B1</f>
        <v>НАЦИОНАЛЕН ОСИГУРИТЕЛЕН ИНСТИТУТ</v>
      </c>
      <c r="E8" s="725"/>
      <c r="F8" s="725"/>
      <c r="G8" s="725"/>
      <c r="H8" s="725"/>
      <c r="I8" s="725"/>
      <c r="J8" s="725"/>
      <c r="K8" s="725"/>
      <c r="L8" s="725"/>
      <c r="M8" s="435" t="s">
        <v>247</v>
      </c>
      <c r="N8" s="16"/>
      <c r="O8" s="595" t="s">
        <v>346</v>
      </c>
      <c r="P8" s="293" t="s">
        <v>46</v>
      </c>
      <c r="Q8" s="13"/>
      <c r="R8" s="719">
        <f>+P5</f>
        <v>2021</v>
      </c>
      <c r="S8" s="720"/>
      <c r="T8" s="7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33" t="s">
        <v>0</v>
      </c>
      <c r="S10" s="734"/>
      <c r="T10" s="73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31.03.2021 г.</v>
      </c>
      <c r="G11" s="399">
        <f>+P5-1</f>
        <v>2020</v>
      </c>
      <c r="H11" s="15"/>
      <c r="I11" s="592" t="str">
        <f>+O8</f>
        <v>31.03.2021 г.</v>
      </c>
      <c r="J11" s="400">
        <f>+P5-1</f>
        <v>2020</v>
      </c>
      <c r="K11" s="16"/>
      <c r="L11" s="593" t="str">
        <f>+O8</f>
        <v>31.03.2021 г.</v>
      </c>
      <c r="M11" s="401">
        <f>+P5-1</f>
        <v>2020</v>
      </c>
      <c r="N11" s="16"/>
      <c r="O11" s="594" t="str">
        <f>+O8</f>
        <v>31.03.2021 г.</v>
      </c>
      <c r="P11" s="402">
        <f>+P5-1</f>
        <v>2020</v>
      </c>
      <c r="Q11" s="355"/>
      <c r="R11" s="736" t="s">
        <v>181</v>
      </c>
      <c r="S11" s="737"/>
      <c r="T11" s="73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647">
        <v>16587196</v>
      </c>
      <c r="G15" s="233">
        <v>73740595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16587196</v>
      </c>
      <c r="P15" s="381">
        <f t="shared" si="0"/>
        <v>73740595</v>
      </c>
      <c r="Q15" s="31"/>
      <c r="R15" s="739" t="s">
        <v>149</v>
      </c>
      <c r="S15" s="740"/>
      <c r="T15" s="741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47" t="s">
        <v>284</v>
      </c>
      <c r="S16" s="748"/>
      <c r="T16" s="749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53" t="s">
        <v>279</v>
      </c>
      <c r="S17" s="754"/>
      <c r="T17" s="755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/>
      <c r="G18" s="233">
        <v>81</v>
      </c>
      <c r="H18" s="15"/>
      <c r="I18" s="233"/>
      <c r="J18" s="232"/>
      <c r="K18" s="230"/>
      <c r="L18" s="233"/>
      <c r="M18" s="232"/>
      <c r="N18" s="230"/>
      <c r="O18" s="368">
        <f t="shared" si="0"/>
        <v>0</v>
      </c>
      <c r="P18" s="381">
        <f t="shared" si="0"/>
        <v>81</v>
      </c>
      <c r="Q18" s="31"/>
      <c r="R18" s="739" t="s">
        <v>150</v>
      </c>
      <c r="S18" s="740"/>
      <c r="T18" s="741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/>
      <c r="G19" s="234"/>
      <c r="H19" s="15"/>
      <c r="I19" s="235"/>
      <c r="J19" s="234"/>
      <c r="K19" s="230"/>
      <c r="L19" s="235"/>
      <c r="M19" s="234"/>
      <c r="N19" s="230"/>
      <c r="O19" s="363">
        <f t="shared" si="0"/>
        <v>0</v>
      </c>
      <c r="P19" s="415">
        <f t="shared" si="0"/>
        <v>0</v>
      </c>
      <c r="Q19" s="31"/>
      <c r="R19" s="750" t="s">
        <v>151</v>
      </c>
      <c r="S19" s="751"/>
      <c r="T19" s="752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/>
      <c r="G20" s="234"/>
      <c r="H20" s="15"/>
      <c r="I20" s="235"/>
      <c r="J20" s="234"/>
      <c r="K20" s="230"/>
      <c r="L20" s="235"/>
      <c r="M20" s="234"/>
      <c r="N20" s="230"/>
      <c r="O20" s="363">
        <f t="shared" si="0"/>
        <v>0</v>
      </c>
      <c r="P20" s="415">
        <f t="shared" si="0"/>
        <v>0</v>
      </c>
      <c r="Q20" s="31"/>
      <c r="R20" s="750" t="s">
        <v>152</v>
      </c>
      <c r="S20" s="751"/>
      <c r="T20" s="752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50" t="s">
        <v>153</v>
      </c>
      <c r="S21" s="751"/>
      <c r="T21" s="752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648">
        <v>3472387</v>
      </c>
      <c r="G22" s="235">
        <v>9436831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3472387</v>
      </c>
      <c r="P22" s="415">
        <f t="shared" si="0"/>
        <v>9436831</v>
      </c>
      <c r="Q22" s="31"/>
      <c r="R22" s="750" t="s">
        <v>154</v>
      </c>
      <c r="S22" s="751"/>
      <c r="T22" s="752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50" t="s">
        <v>155</v>
      </c>
      <c r="S23" s="751"/>
      <c r="T23" s="752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/>
      <c r="G24" s="236"/>
      <c r="H24" s="15"/>
      <c r="I24" s="237"/>
      <c r="J24" s="236"/>
      <c r="K24" s="230"/>
      <c r="L24" s="237"/>
      <c r="M24" s="236"/>
      <c r="N24" s="230"/>
      <c r="O24" s="364">
        <f t="shared" si="0"/>
        <v>0</v>
      </c>
      <c r="P24" s="387">
        <f t="shared" si="0"/>
        <v>0</v>
      </c>
      <c r="Q24" s="31"/>
      <c r="R24" s="756" t="s">
        <v>280</v>
      </c>
      <c r="S24" s="757"/>
      <c r="T24" s="758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20059583</v>
      </c>
      <c r="G25" s="238">
        <f>+ROUND(+SUM(G15,G16,G18,G19,G20,G21,G22,G23,G24),0)</f>
        <v>83177507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20059583</v>
      </c>
      <c r="P25" s="366">
        <f>+ROUND(+SUM(P15,P16,P18,P19,P20,P21,P22,P23,P24),0)</f>
        <v>83177507</v>
      </c>
      <c r="Q25" s="31"/>
      <c r="R25" s="759" t="s">
        <v>182</v>
      </c>
      <c r="S25" s="760"/>
      <c r="T25" s="761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9" t="s">
        <v>156</v>
      </c>
      <c r="S27" s="740"/>
      <c r="T27" s="74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0</v>
      </c>
      <c r="Q28" s="31"/>
      <c r="R28" s="750" t="s">
        <v>157</v>
      </c>
      <c r="S28" s="751"/>
      <c r="T28" s="75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6" t="s">
        <v>158</v>
      </c>
      <c r="S29" s="757"/>
      <c r="T29" s="75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0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0</v>
      </c>
      <c r="Q30" s="31"/>
      <c r="R30" s="759" t="s">
        <v>183</v>
      </c>
      <c r="S30" s="760"/>
      <c r="T30" s="761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/>
      <c r="G37" s="250"/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0</v>
      </c>
      <c r="P37" s="366">
        <f t="shared" si="2"/>
        <v>0</v>
      </c>
      <c r="Q37" s="31"/>
      <c r="R37" s="759" t="s">
        <v>184</v>
      </c>
      <c r="S37" s="760"/>
      <c r="T37" s="76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/>
      <c r="G38" s="252"/>
      <c r="H38" s="15"/>
      <c r="I38" s="253"/>
      <c r="J38" s="252"/>
      <c r="K38" s="230"/>
      <c r="L38" s="253"/>
      <c r="M38" s="252"/>
      <c r="N38" s="230"/>
      <c r="O38" s="378">
        <f t="shared" si="2"/>
        <v>0</v>
      </c>
      <c r="P38" s="416">
        <f t="shared" si="2"/>
        <v>0</v>
      </c>
      <c r="Q38" s="31"/>
      <c r="R38" s="762" t="s">
        <v>159</v>
      </c>
      <c r="S38" s="763"/>
      <c r="T38" s="76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/>
      <c r="G39" s="254"/>
      <c r="H39" s="15"/>
      <c r="I39" s="255"/>
      <c r="J39" s="254"/>
      <c r="K39" s="230"/>
      <c r="L39" s="255"/>
      <c r="M39" s="254"/>
      <c r="N39" s="230"/>
      <c r="O39" s="379">
        <f t="shared" si="2"/>
        <v>0</v>
      </c>
      <c r="P39" s="417">
        <f t="shared" si="2"/>
        <v>0</v>
      </c>
      <c r="Q39" s="31"/>
      <c r="R39" s="765" t="s">
        <v>160</v>
      </c>
      <c r="S39" s="766"/>
      <c r="T39" s="76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8" t="s">
        <v>161</v>
      </c>
      <c r="S40" s="769"/>
      <c r="T40" s="770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/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0</v>
      </c>
      <c r="Q42" s="31"/>
      <c r="R42" s="759" t="s">
        <v>185</v>
      </c>
      <c r="S42" s="760"/>
      <c r="T42" s="761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39" t="s">
        <v>162</v>
      </c>
      <c r="S44" s="740"/>
      <c r="T44" s="74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50" t="s">
        <v>163</v>
      </c>
      <c r="S45" s="751"/>
      <c r="T45" s="75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50" t="s">
        <v>164</v>
      </c>
      <c r="S46" s="751"/>
      <c r="T46" s="75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56" t="s">
        <v>165</v>
      </c>
      <c r="S47" s="757"/>
      <c r="T47" s="75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759" t="s">
        <v>186</v>
      </c>
      <c r="S48" s="760"/>
      <c r="T48" s="761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20059583</v>
      </c>
      <c r="G50" s="260">
        <f>+ROUND(G25+G30+G37+G42+G48,0)</f>
        <v>83177507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20059583</v>
      </c>
      <c r="P50" s="383">
        <f>+ROUND(P25+P30+P37+P42+P48,0)</f>
        <v>83177507</v>
      </c>
      <c r="Q50" s="109"/>
      <c r="R50" s="771" t="s">
        <v>187</v>
      </c>
      <c r="S50" s="772"/>
      <c r="T50" s="77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/>
      <c r="G53" s="262"/>
      <c r="H53" s="15"/>
      <c r="I53" s="263"/>
      <c r="J53" s="262"/>
      <c r="K53" s="230"/>
      <c r="L53" s="263"/>
      <c r="M53" s="262"/>
      <c r="N53" s="230"/>
      <c r="O53" s="369">
        <f aca="true" t="shared" si="4" ref="O53:P57">+ROUND(+F53+I53+L53,0)</f>
        <v>0</v>
      </c>
      <c r="P53" s="362">
        <f t="shared" si="4"/>
        <v>0</v>
      </c>
      <c r="Q53" s="31"/>
      <c r="R53" s="739" t="s">
        <v>188</v>
      </c>
      <c r="S53" s="740"/>
      <c r="T53" s="74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649">
        <v>8638</v>
      </c>
      <c r="G54" s="237">
        <v>16803</v>
      </c>
      <c r="H54" s="15"/>
      <c r="I54" s="237"/>
      <c r="J54" s="236"/>
      <c r="K54" s="230"/>
      <c r="L54" s="237"/>
      <c r="M54" s="236"/>
      <c r="N54" s="230"/>
      <c r="O54" s="364">
        <f t="shared" si="4"/>
        <v>8638</v>
      </c>
      <c r="P54" s="387">
        <f t="shared" si="4"/>
        <v>16803</v>
      </c>
      <c r="Q54" s="31"/>
      <c r="R54" s="750" t="s">
        <v>166</v>
      </c>
      <c r="S54" s="751"/>
      <c r="T54" s="75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/>
      <c r="G55" s="236"/>
      <c r="H55" s="15"/>
      <c r="I55" s="237"/>
      <c r="J55" s="236"/>
      <c r="K55" s="230"/>
      <c r="L55" s="237"/>
      <c r="M55" s="236"/>
      <c r="N55" s="230"/>
      <c r="O55" s="364">
        <f t="shared" si="4"/>
        <v>0</v>
      </c>
      <c r="P55" s="387">
        <f t="shared" si="4"/>
        <v>0</v>
      </c>
      <c r="Q55" s="31"/>
      <c r="R55" s="750" t="s">
        <v>167</v>
      </c>
      <c r="S55" s="751"/>
      <c r="T55" s="75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/>
      <c r="G56" s="236"/>
      <c r="H56" s="15"/>
      <c r="I56" s="237"/>
      <c r="J56" s="236"/>
      <c r="K56" s="230"/>
      <c r="L56" s="237"/>
      <c r="M56" s="236"/>
      <c r="N56" s="230"/>
      <c r="O56" s="364">
        <f t="shared" si="4"/>
        <v>0</v>
      </c>
      <c r="P56" s="387">
        <f t="shared" si="4"/>
        <v>0</v>
      </c>
      <c r="Q56" s="31"/>
      <c r="R56" s="750" t="s">
        <v>168</v>
      </c>
      <c r="S56" s="751"/>
      <c r="T56" s="75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/>
      <c r="G57" s="236"/>
      <c r="H57" s="15"/>
      <c r="I57" s="237"/>
      <c r="J57" s="236"/>
      <c r="K57" s="230"/>
      <c r="L57" s="237"/>
      <c r="M57" s="236"/>
      <c r="N57" s="230"/>
      <c r="O57" s="364">
        <f t="shared" si="4"/>
        <v>0</v>
      </c>
      <c r="P57" s="387">
        <f t="shared" si="4"/>
        <v>0</v>
      </c>
      <c r="Q57" s="31"/>
      <c r="R57" s="756" t="s">
        <v>169</v>
      </c>
      <c r="S57" s="757"/>
      <c r="T57" s="75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8638</v>
      </c>
      <c r="G58" s="264">
        <f>+ROUND(+SUM(G53:G57),0)</f>
        <v>16803</v>
      </c>
      <c r="H58" s="15"/>
      <c r="I58" s="265">
        <f>+ROUND(+SUM(I53:I57),0)</f>
        <v>0</v>
      </c>
      <c r="J58" s="264">
        <f>+ROUND(+SUM(J53:J57),0)</f>
        <v>0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8638</v>
      </c>
      <c r="P58" s="385">
        <f>+ROUND(+SUM(P53:P57),0)</f>
        <v>16803</v>
      </c>
      <c r="Q58" s="31"/>
      <c r="R58" s="759" t="s">
        <v>189</v>
      </c>
      <c r="S58" s="760"/>
      <c r="T58" s="761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9" t="s">
        <v>170</v>
      </c>
      <c r="S60" s="740"/>
      <c r="T60" s="74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/>
      <c r="G61" s="236"/>
      <c r="H61" s="15"/>
      <c r="I61" s="237"/>
      <c r="J61" s="236"/>
      <c r="K61" s="230"/>
      <c r="L61" s="237"/>
      <c r="M61" s="236"/>
      <c r="N61" s="230"/>
      <c r="O61" s="364">
        <f t="shared" si="5"/>
        <v>0</v>
      </c>
      <c r="P61" s="387">
        <f t="shared" si="5"/>
        <v>0</v>
      </c>
      <c r="Q61" s="31"/>
      <c r="R61" s="750" t="s">
        <v>171</v>
      </c>
      <c r="S61" s="751"/>
      <c r="T61" s="75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/>
      <c r="G62" s="236"/>
      <c r="H62" s="15"/>
      <c r="I62" s="237"/>
      <c r="J62" s="236"/>
      <c r="K62" s="230"/>
      <c r="L62" s="237"/>
      <c r="M62" s="236"/>
      <c r="N62" s="230"/>
      <c r="O62" s="364">
        <f t="shared" si="5"/>
        <v>0</v>
      </c>
      <c r="P62" s="387">
        <f t="shared" si="5"/>
        <v>0</v>
      </c>
      <c r="Q62" s="31"/>
      <c r="R62" s="750" t="s">
        <v>172</v>
      </c>
      <c r="S62" s="751"/>
      <c r="T62" s="75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6" t="s">
        <v>190</v>
      </c>
      <c r="S63" s="757"/>
      <c r="T63" s="758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0</v>
      </c>
      <c r="G65" s="264">
        <f>+ROUND(+SUM(G60:G63),0)</f>
        <v>0</v>
      </c>
      <c r="H65" s="15"/>
      <c r="I65" s="265">
        <f>+ROUND(+SUM(I60:I63),0)</f>
        <v>0</v>
      </c>
      <c r="J65" s="264">
        <f>+ROUND(+SUM(J60:J63),0)</f>
        <v>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0</v>
      </c>
      <c r="P65" s="385">
        <f>+ROUND(+SUM(P60:P63),0)</f>
        <v>0</v>
      </c>
      <c r="Q65" s="31"/>
      <c r="R65" s="759" t="s">
        <v>192</v>
      </c>
      <c r="S65" s="760"/>
      <c r="T65" s="761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9" t="s">
        <v>173</v>
      </c>
      <c r="S67" s="740"/>
      <c r="T67" s="74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50" t="s">
        <v>174</v>
      </c>
      <c r="S68" s="751"/>
      <c r="T68" s="75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9" t="s">
        <v>193</v>
      </c>
      <c r="S69" s="760"/>
      <c r="T69" s="761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650">
        <v>12828026</v>
      </c>
      <c r="G71" s="263">
        <v>46637351</v>
      </c>
      <c r="H71" s="15"/>
      <c r="I71" s="263"/>
      <c r="J71" s="262"/>
      <c r="K71" s="230"/>
      <c r="L71" s="263"/>
      <c r="M71" s="262"/>
      <c r="N71" s="230"/>
      <c r="O71" s="369">
        <f>+ROUND(+F71+I71+L71,0)</f>
        <v>12828026</v>
      </c>
      <c r="P71" s="362">
        <f>+ROUND(+G71+J71+M71,0)</f>
        <v>46637351</v>
      </c>
      <c r="Q71" s="31"/>
      <c r="R71" s="739" t="s">
        <v>175</v>
      </c>
      <c r="S71" s="740"/>
      <c r="T71" s="74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50" t="s">
        <v>176</v>
      </c>
      <c r="S72" s="751"/>
      <c r="T72" s="75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12828026</v>
      </c>
      <c r="G73" s="264">
        <f>+ROUND(+SUM(G71:G72),0)</f>
        <v>46637351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12828026</v>
      </c>
      <c r="P73" s="385">
        <f>+ROUND(+SUM(P71:P72),0)</f>
        <v>46637351</v>
      </c>
      <c r="Q73" s="31"/>
      <c r="R73" s="759" t="s">
        <v>194</v>
      </c>
      <c r="S73" s="760"/>
      <c r="T73" s="761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/>
      <c r="J75" s="262"/>
      <c r="K75" s="230"/>
      <c r="L75" s="263"/>
      <c r="M75" s="262"/>
      <c r="N75" s="230"/>
      <c r="O75" s="369">
        <f>+ROUND(+F75+I75+L75,0)</f>
        <v>0</v>
      </c>
      <c r="P75" s="362">
        <f>+ROUND(+G75+J75+M75,0)</f>
        <v>0</v>
      </c>
      <c r="Q75" s="31"/>
      <c r="R75" s="739" t="s">
        <v>177</v>
      </c>
      <c r="S75" s="740"/>
      <c r="T75" s="74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750" t="s">
        <v>195</v>
      </c>
      <c r="S76" s="751"/>
      <c r="T76" s="75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0</v>
      </c>
      <c r="P77" s="385">
        <f>+ROUND(+SUM(P75:P76),0)</f>
        <v>0</v>
      </c>
      <c r="Q77" s="31"/>
      <c r="R77" s="759" t="s">
        <v>196</v>
      </c>
      <c r="S77" s="760"/>
      <c r="T77" s="761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12836664</v>
      </c>
      <c r="G79" s="275">
        <f>+ROUND(G58+G65+G69+G73+G77,0)</f>
        <v>46654154</v>
      </c>
      <c r="H79" s="15"/>
      <c r="I79" s="272">
        <f>+ROUND(I58+I65+I69+I73+I77,0)</f>
        <v>0</v>
      </c>
      <c r="J79" s="275">
        <f>+ROUND(J58+J65+J69+J73+J77,0)</f>
        <v>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12836664</v>
      </c>
      <c r="P79" s="395">
        <f>+ROUND(P58+P65+P69+P73+P77,0)</f>
        <v>46654154</v>
      </c>
      <c r="Q79" s="31"/>
      <c r="R79" s="774" t="s">
        <v>197</v>
      </c>
      <c r="S79" s="775"/>
      <c r="T79" s="77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/>
      <c r="G81" s="232"/>
      <c r="H81" s="15"/>
      <c r="I81" s="233"/>
      <c r="J81" s="232"/>
      <c r="K81" s="230"/>
      <c r="L81" s="233"/>
      <c r="M81" s="232"/>
      <c r="N81" s="230"/>
      <c r="O81" s="368">
        <f>+ROUND(+F81+I81+L81,0)</f>
        <v>0</v>
      </c>
      <c r="P81" s="381">
        <f>+ROUND(+G81+J81+M81,0)</f>
        <v>0</v>
      </c>
      <c r="Q81" s="31"/>
      <c r="R81" s="739" t="s">
        <v>178</v>
      </c>
      <c r="S81" s="740"/>
      <c r="T81" s="74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50" t="s">
        <v>179</v>
      </c>
      <c r="S82" s="751"/>
      <c r="T82" s="75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0</v>
      </c>
      <c r="G83" s="273">
        <f>+ROUND(G81+G82,0)</f>
        <v>0</v>
      </c>
      <c r="H83" s="15"/>
      <c r="I83" s="274">
        <f>+ROUND(I81+I82,0)</f>
        <v>0</v>
      </c>
      <c r="J83" s="273">
        <f>+ROUND(J81+J82,0)</f>
        <v>0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0</v>
      </c>
      <c r="P83" s="390">
        <f>+ROUND(P81+P82,0)</f>
        <v>0</v>
      </c>
      <c r="Q83" s="31"/>
      <c r="R83" s="777" t="s">
        <v>198</v>
      </c>
      <c r="S83" s="778"/>
      <c r="T83" s="779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0"/>
      <c r="D84" s="731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7222919</v>
      </c>
      <c r="G85" s="294">
        <f>+ROUND(G50,0)-ROUND(G79,0)+ROUND(G83,0)</f>
        <v>36523353</v>
      </c>
      <c r="H85" s="15"/>
      <c r="I85" s="295">
        <f>+ROUND(I50,0)-ROUND(I79,0)+ROUND(I83,0)</f>
        <v>0</v>
      </c>
      <c r="J85" s="294">
        <f>+ROUND(J50,0)-ROUND(J79,0)+ROUND(J83,0)</f>
        <v>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7222919</v>
      </c>
      <c r="P85" s="392">
        <f>+ROUND(P50,0)-ROUND(P79,0)+ROUND(P83,0)</f>
        <v>36523353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-7222919</v>
      </c>
      <c r="G86" s="296">
        <f>+ROUND(G103,0)+ROUND(G122,0)+ROUND(G129,0)-ROUND(G134,0)</f>
        <v>-36523353</v>
      </c>
      <c r="H86" s="15"/>
      <c r="I86" s="297">
        <f>+ROUND(I103,0)+ROUND(I122,0)+ROUND(I129,0)-ROUND(I134,0)</f>
        <v>0</v>
      </c>
      <c r="J86" s="296">
        <f>+ROUND(J103,0)+ROUND(J122,0)+ROUND(J129,0)-ROUND(J134,0)</f>
        <v>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-7222919</v>
      </c>
      <c r="P86" s="394">
        <f>+ROUND(P103,0)+ROUND(P122,0)+ROUND(P129,0)-ROUND(P134,0)</f>
        <v>-36523353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39" t="s">
        <v>199</v>
      </c>
      <c r="S89" s="740"/>
      <c r="T89" s="74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50" t="s">
        <v>200</v>
      </c>
      <c r="S90" s="751"/>
      <c r="T90" s="75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759" t="s">
        <v>201</v>
      </c>
      <c r="S91" s="760"/>
      <c r="T91" s="761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9" t="s">
        <v>202</v>
      </c>
      <c r="S93" s="740"/>
      <c r="T93" s="74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50" t="s">
        <v>203</v>
      </c>
      <c r="S94" s="751"/>
      <c r="T94" s="75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50" t="s">
        <v>204</v>
      </c>
      <c r="S95" s="751"/>
      <c r="T95" s="75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6" t="s">
        <v>205</v>
      </c>
      <c r="S96" s="757"/>
      <c r="T96" s="75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9" t="s">
        <v>206</v>
      </c>
      <c r="S97" s="760"/>
      <c r="T97" s="761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651">
        <v>43192662</v>
      </c>
      <c r="G99" s="233">
        <v>84017112</v>
      </c>
      <c r="H99" s="15"/>
      <c r="I99" s="233"/>
      <c r="J99" s="232"/>
      <c r="K99" s="230"/>
      <c r="L99" s="233"/>
      <c r="M99" s="232"/>
      <c r="N99" s="230"/>
      <c r="O99" s="368">
        <f>+ROUND(+F99+I99+L99,0)</f>
        <v>43192662</v>
      </c>
      <c r="P99" s="381">
        <f>+ROUND(+G99+J99+M99,0)</f>
        <v>84017112</v>
      </c>
      <c r="Q99" s="31"/>
      <c r="R99" s="739" t="s">
        <v>207</v>
      </c>
      <c r="S99" s="740"/>
      <c r="T99" s="74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750" t="s">
        <v>208</v>
      </c>
      <c r="S100" s="751"/>
      <c r="T100" s="75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43192662</v>
      </c>
      <c r="G101" s="238">
        <f>+ROUND(+SUM(G99:G100),0)</f>
        <v>84017112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43192662</v>
      </c>
      <c r="P101" s="366">
        <f>+ROUND(+SUM(P99:P100),0)</f>
        <v>84017112</v>
      </c>
      <c r="Q101" s="31"/>
      <c r="R101" s="759" t="s">
        <v>209</v>
      </c>
      <c r="S101" s="760"/>
      <c r="T101" s="761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43192662</v>
      </c>
      <c r="G103" s="260">
        <f>+ROUND(G91+G97+G101,0)</f>
        <v>84017112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43192662</v>
      </c>
      <c r="P103" s="383">
        <f>+ROUND(P91+P97+P101,0)</f>
        <v>84017112</v>
      </c>
      <c r="Q103" s="109"/>
      <c r="R103" s="771" t="s">
        <v>210</v>
      </c>
      <c r="S103" s="772"/>
      <c r="T103" s="773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9" t="s">
        <v>211</v>
      </c>
      <c r="S106" s="740"/>
      <c r="T106" s="74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50" t="s">
        <v>212</v>
      </c>
      <c r="S107" s="751"/>
      <c r="T107" s="75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9" t="s">
        <v>213</v>
      </c>
      <c r="S108" s="760"/>
      <c r="T108" s="761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6" t="s">
        <v>214</v>
      </c>
      <c r="S110" s="787"/>
      <c r="T110" s="788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9" t="s">
        <v>215</v>
      </c>
      <c r="S111" s="790"/>
      <c r="T111" s="791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9" t="s">
        <v>216</v>
      </c>
      <c r="S112" s="760"/>
      <c r="T112" s="761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9" t="s">
        <v>217</v>
      </c>
      <c r="S114" s="740"/>
      <c r="T114" s="74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50" t="s">
        <v>218</v>
      </c>
      <c r="S115" s="751"/>
      <c r="T115" s="75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9" t="s">
        <v>219</v>
      </c>
      <c r="S116" s="760"/>
      <c r="T116" s="761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/>
      <c r="H118" s="15"/>
      <c r="I118" s="263"/>
      <c r="J118" s="262"/>
      <c r="K118" s="230"/>
      <c r="L118" s="263"/>
      <c r="M118" s="262"/>
      <c r="N118" s="230"/>
      <c r="O118" s="369">
        <f>+ROUND(+F118+I118+L118,0)</f>
        <v>0</v>
      </c>
      <c r="P118" s="362">
        <f>+ROUND(+G118+J118+M118,0)</f>
        <v>0</v>
      </c>
      <c r="Q118" s="31"/>
      <c r="R118" s="739" t="s">
        <v>220</v>
      </c>
      <c r="S118" s="740"/>
      <c r="T118" s="74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750" t="s">
        <v>221</v>
      </c>
      <c r="S119" s="751"/>
      <c r="T119" s="75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0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0</v>
      </c>
      <c r="M120" s="264">
        <f>+ROUND(+SUM(M118:M119),0)</f>
        <v>0</v>
      </c>
      <c r="N120" s="230"/>
      <c r="O120" s="384">
        <f>+ROUND(+SUM(O118:O119),0)</f>
        <v>0</v>
      </c>
      <c r="P120" s="385">
        <f>+ROUND(+SUM(P118:P119),0)</f>
        <v>0</v>
      </c>
      <c r="Q120" s="31"/>
      <c r="R120" s="759" t="s">
        <v>222</v>
      </c>
      <c r="S120" s="760"/>
      <c r="T120" s="761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0</v>
      </c>
      <c r="G122" s="275">
        <f>+ROUND(G108+G112+G116+G120,0)</f>
        <v>0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0</v>
      </c>
      <c r="M122" s="275">
        <f>+ROUND(M108+M112+M116+M120,0)</f>
        <v>0</v>
      </c>
      <c r="N122" s="230"/>
      <c r="O122" s="388">
        <f>+ROUND(O108+O112+O116+O120,0)</f>
        <v>0</v>
      </c>
      <c r="P122" s="395">
        <f>+ROUND(P108+P112+P116+P120,0)</f>
        <v>0</v>
      </c>
      <c r="Q122" s="31"/>
      <c r="R122" s="774" t="s">
        <v>223</v>
      </c>
      <c r="S122" s="775"/>
      <c r="T122" s="77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9" t="s">
        <v>224</v>
      </c>
      <c r="S124" s="740"/>
      <c r="T124" s="741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652">
        <v>-340400</v>
      </c>
      <c r="G125" s="237">
        <v>-1006988</v>
      </c>
      <c r="H125" s="15"/>
      <c r="I125" s="237"/>
      <c r="J125" s="236"/>
      <c r="K125" s="230"/>
      <c r="L125" s="237"/>
      <c r="M125" s="236"/>
      <c r="N125" s="230"/>
      <c r="O125" s="364">
        <f t="shared" si="7"/>
        <v>-340400</v>
      </c>
      <c r="P125" s="387">
        <f t="shared" si="7"/>
        <v>-1006988</v>
      </c>
      <c r="Q125" s="31"/>
      <c r="R125" s="750" t="s">
        <v>225</v>
      </c>
      <c r="S125" s="751"/>
      <c r="T125" s="75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48559</v>
      </c>
      <c r="G126" s="237">
        <v>-49269</v>
      </c>
      <c r="H126" s="15"/>
      <c r="I126" s="237"/>
      <c r="J126" s="236"/>
      <c r="K126" s="230"/>
      <c r="L126" s="237"/>
      <c r="M126" s="236"/>
      <c r="N126" s="230"/>
      <c r="O126" s="364">
        <f t="shared" si="7"/>
        <v>48559</v>
      </c>
      <c r="P126" s="387">
        <f t="shared" si="7"/>
        <v>-49269</v>
      </c>
      <c r="Q126" s="31"/>
      <c r="R126" s="780" t="s">
        <v>286</v>
      </c>
      <c r="S126" s="781"/>
      <c r="T126" s="78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92" t="s">
        <v>282</v>
      </c>
      <c r="S127" s="793"/>
      <c r="T127" s="794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83" t="s">
        <v>226</v>
      </c>
      <c r="S128" s="784"/>
      <c r="T128" s="785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-291841</v>
      </c>
      <c r="G129" s="273">
        <f>+ROUND(+SUM(G124,G125,G126,G128),0)</f>
        <v>-1056257</v>
      </c>
      <c r="H129" s="15"/>
      <c r="I129" s="274">
        <f>+ROUND(+SUM(I124,I125,I126,I128),0)</f>
        <v>0</v>
      </c>
      <c r="J129" s="273">
        <f>+ROUND(+SUM(J124,J125,J126,J128),0)</f>
        <v>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-291841</v>
      </c>
      <c r="P129" s="390">
        <f>+ROUND(+SUM(P124,P125,P126,P128),0)</f>
        <v>-1056257</v>
      </c>
      <c r="Q129" s="31"/>
      <c r="R129" s="777" t="s">
        <v>227</v>
      </c>
      <c r="S129" s="778"/>
      <c r="T129" s="779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299302531</v>
      </c>
      <c r="G131" s="233">
        <v>179818323</v>
      </c>
      <c r="H131" s="15"/>
      <c r="I131" s="233"/>
      <c r="J131" s="232"/>
      <c r="K131" s="230"/>
      <c r="L131" s="233"/>
      <c r="M131" s="232"/>
      <c r="N131" s="230"/>
      <c r="O131" s="368">
        <f aca="true" t="shared" si="8" ref="O131:P133">+ROUND(+F131+I131+L131,0)</f>
        <v>299302531</v>
      </c>
      <c r="P131" s="381">
        <f t="shared" si="8"/>
        <v>179818323</v>
      </c>
      <c r="Q131" s="31"/>
      <c r="R131" s="739" t="s">
        <v>228</v>
      </c>
      <c r="S131" s="740"/>
      <c r="T131" s="741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750" t="s">
        <v>229</v>
      </c>
      <c r="S132" s="751"/>
      <c r="T132" s="75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349426271</v>
      </c>
      <c r="G133" s="237">
        <v>299302531</v>
      </c>
      <c r="H133" s="15"/>
      <c r="I133" s="237"/>
      <c r="J133" s="236"/>
      <c r="K133" s="230"/>
      <c r="L133" s="237"/>
      <c r="M133" s="236"/>
      <c r="N133" s="230"/>
      <c r="O133" s="364">
        <f t="shared" si="8"/>
        <v>349426271</v>
      </c>
      <c r="P133" s="387">
        <f t="shared" si="8"/>
        <v>299302531</v>
      </c>
      <c r="Q133" s="31"/>
      <c r="R133" s="800" t="s">
        <v>230</v>
      </c>
      <c r="S133" s="801"/>
      <c r="T133" s="8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50123740</v>
      </c>
      <c r="G134" s="278">
        <f>+ROUND(+G133-G131-G132,0)</f>
        <v>119484208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0</v>
      </c>
      <c r="M134" s="278">
        <f>+ROUND(+M133-M131-M132,0)</f>
        <v>0</v>
      </c>
      <c r="N134" s="230"/>
      <c r="O134" s="397">
        <f>+ROUND(+O133-O131-O132,0)</f>
        <v>50123740</v>
      </c>
      <c r="P134" s="398">
        <f>+ROUND(+P133-P131-P132,0)</f>
        <v>119484208</v>
      </c>
      <c r="Q134" s="31"/>
      <c r="R134" s="797" t="s">
        <v>295</v>
      </c>
      <c r="S134" s="798"/>
      <c r="T134" s="79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2"/>
      <c r="D135" s="732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692" t="s">
        <v>309</v>
      </c>
      <c r="S137" s="693"/>
      <c r="T137" s="694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95" t="s">
        <v>306</v>
      </c>
      <c r="S138" s="696"/>
      <c r="T138" s="697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698" t="s">
        <v>305</v>
      </c>
      <c r="S139" s="699"/>
      <c r="T139" s="700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701" t="s">
        <v>296</v>
      </c>
      <c r="S140" s="702"/>
      <c r="T140" s="703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50123740</v>
      </c>
      <c r="G142" s="540">
        <f>+G134+G140</f>
        <v>119484208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0</v>
      </c>
      <c r="M142" s="540">
        <f>+M134+M140</f>
        <v>0</v>
      </c>
      <c r="N142" s="230"/>
      <c r="O142" s="397">
        <f>+O134+O140</f>
        <v>50123740</v>
      </c>
      <c r="P142" s="398">
        <f>+P134+P140</f>
        <v>119484208</v>
      </c>
      <c r="Q142" s="31"/>
      <c r="R142" s="704" t="s">
        <v>298</v>
      </c>
      <c r="S142" s="705"/>
      <c r="T142" s="706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10052021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7" t="s">
        <v>456</v>
      </c>
      <c r="G148" s="708"/>
      <c r="H148" s="708"/>
      <c r="I148" s="709"/>
      <c r="J148" s="349"/>
      <c r="K148" s="16"/>
      <c r="L148" s="349" t="s">
        <v>234</v>
      </c>
      <c r="M148" s="707" t="s">
        <v>457</v>
      </c>
      <c r="N148" s="708"/>
      <c r="O148" s="708"/>
      <c r="P148" s="709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349426271</v>
      </c>
      <c r="G160" s="569">
        <f>+G133+G139</f>
        <v>299302531</v>
      </c>
      <c r="I160" s="568">
        <f>+I133+I139</f>
        <v>0</v>
      </c>
      <c r="J160" s="569">
        <f>+J133+J139</f>
        <v>0</v>
      </c>
      <c r="K160" s="230"/>
      <c r="L160" s="568">
        <f>+L133+L139</f>
        <v>0</v>
      </c>
      <c r="M160" s="569">
        <f>+M133+M139</f>
        <v>0</v>
      </c>
      <c r="N160" s="230"/>
      <c r="O160" s="572">
        <f>+ROUND(+F160+I160+L160,0)</f>
        <v>349426271</v>
      </c>
      <c r="P160" s="573">
        <f>+ROUND(+G160+J160+M160,0)</f>
        <v>299302531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688">
        <f>+'Cash-Flow-2021-Leva'!P5</f>
        <v>2021</v>
      </c>
      <c r="D161" s="689"/>
      <c r="F161" s="565">
        <v>349426271</v>
      </c>
      <c r="G161" s="566">
        <v>299302531</v>
      </c>
      <c r="I161" s="565"/>
      <c r="J161" s="566"/>
      <c r="K161" s="230"/>
      <c r="L161" s="565"/>
      <c r="M161" s="566"/>
      <c r="N161" s="230"/>
      <c r="O161" s="574">
        <f>+ROUND(+F161+I161+L161,0)</f>
        <v>349426271</v>
      </c>
      <c r="P161" s="575">
        <f>+ROUND(+G161+J161+M161,0)</f>
        <v>299302531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31.03.2021 г.</v>
      </c>
      <c r="G162" s="559">
        <f>+G11</f>
        <v>2020</v>
      </c>
      <c r="I162" s="597" t="str">
        <f>+I11</f>
        <v>31.03.2021 г.</v>
      </c>
      <c r="J162" s="561">
        <f>+J11</f>
        <v>2020</v>
      </c>
      <c r="K162" s="11"/>
      <c r="L162" s="598" t="str">
        <f>+L11</f>
        <v>31.03.2021 г.</v>
      </c>
      <c r="M162" s="564">
        <f>+M11</f>
        <v>2020</v>
      </c>
      <c r="N162" s="11"/>
      <c r="O162" s="599" t="str">
        <f>+O11</f>
        <v>31.03.2021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804">
        <f>+IF(F171&gt;0,"БЮДЖЕТ",0)</f>
        <v>0</v>
      </c>
      <c r="G170" s="804"/>
      <c r="I170" s="804">
        <f>+IF(I171&gt;0,"СЕС",0)</f>
        <v>0</v>
      </c>
      <c r="J170" s="804"/>
      <c r="K170" s="11"/>
      <c r="L170" s="804">
        <f>+IF(L171&gt;0,"ДСД",0)</f>
        <v>0</v>
      </c>
      <c r="M170" s="804"/>
      <c r="N170" s="11"/>
      <c r="O170" s="804">
        <f>+IF(O171&gt;0,"Общо (Б-т + СЕС + ДСД)",0)</f>
        <v>0</v>
      </c>
      <c r="P170" s="804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804">
        <f>+COUNTIF(F168:G168,"&lt;&gt;0")</f>
        <v>0</v>
      </c>
      <c r="G171" s="804"/>
      <c r="I171" s="804">
        <f>+COUNTIF(I168:J168,"&lt;&gt;0")</f>
        <v>0</v>
      </c>
      <c r="J171" s="804"/>
      <c r="K171" s="11"/>
      <c r="L171" s="804">
        <f>+COUNTIF(L168:M168,"&lt;&gt;0")</f>
        <v>0</v>
      </c>
      <c r="M171" s="804"/>
      <c r="N171" s="11"/>
      <c r="O171" s="804">
        <f>+COUNTIF(O168:P168,"&lt;&gt;0")</f>
        <v>0</v>
      </c>
      <c r="P171" s="804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803">
        <f>+IF(O174&gt;0,"ВСИЧКО: Б-т + СЕС + ДСД + Общо",0)</f>
        <v>0</v>
      </c>
      <c r="P173" s="803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803">
        <f>+SUM(F171:P171)</f>
        <v>0</v>
      </c>
      <c r="P174" s="803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300" dxfId="141" operator="notEqual" stopIfTrue="1">
      <formula>0</formula>
    </cfRule>
  </conditionalFormatting>
  <conditionalFormatting sqref="B135 B144:E146 B143:D143">
    <cfRule type="cellIs" priority="285" dxfId="142" operator="notEqual" stopIfTrue="1">
      <formula>0</formula>
    </cfRule>
    <cfRule type="cellIs" priority="201" dxfId="143" operator="equal">
      <formula>0</formula>
    </cfRule>
  </conditionalFormatting>
  <conditionalFormatting sqref="F150:G151">
    <cfRule type="cellIs" priority="213" dxfId="144" operator="equal" stopIfTrue="1">
      <formula>"НЕРАВНЕНИЕ!"</formula>
    </cfRule>
    <cfRule type="cellIs" priority="214" dxfId="16" operator="equal" stopIfTrue="1">
      <formula>"НЕРАВНЕНИЕ!"</formula>
    </cfRule>
  </conditionalFormatting>
  <conditionalFormatting sqref="O150:O151 I150:J151">
    <cfRule type="cellIs" priority="212" dxfId="144" operator="equal" stopIfTrue="1">
      <formula>"НЕРАВНЕНИЕ!"</formula>
    </cfRule>
  </conditionalFormatting>
  <conditionalFormatting sqref="L150:L151 N150:N151">
    <cfRule type="cellIs" priority="211" dxfId="144" operator="equal" stopIfTrue="1">
      <formula>"НЕРАВНЕНИЕ!"</formula>
    </cfRule>
  </conditionalFormatting>
  <conditionalFormatting sqref="F153:G154">
    <cfRule type="cellIs" priority="209" dxfId="144" operator="equal" stopIfTrue="1">
      <formula>"НЕРАВНЕНИЕ !"</formula>
    </cfRule>
    <cfRule type="cellIs" priority="210" dxfId="16" operator="equal" stopIfTrue="1">
      <formula>"НЕРАВНЕНИЕ !"</formula>
    </cfRule>
  </conditionalFormatting>
  <conditionalFormatting sqref="O153:O154 I153:J154">
    <cfRule type="cellIs" priority="208" dxfId="144" operator="equal" stopIfTrue="1">
      <formula>"НЕРАВНЕНИЕ !"</formula>
    </cfRule>
  </conditionalFormatting>
  <conditionalFormatting sqref="L153:L154 N153:N154">
    <cfRule type="cellIs" priority="207" dxfId="144" operator="equal" stopIfTrue="1">
      <formula>"НЕРАВНЕНИЕ !"</formula>
    </cfRule>
  </conditionalFormatting>
  <conditionalFormatting sqref="L153:L154 O153:O154 F153:G154 I153:J154">
    <cfRule type="cellIs" priority="206" dxfId="144" operator="notEqual">
      <formula>0</formula>
    </cfRule>
  </conditionalFormatting>
  <conditionalFormatting sqref="L84">
    <cfRule type="cellIs" priority="187" dxfId="141" operator="notEqual" stopIfTrue="1">
      <formula>0</formula>
    </cfRule>
  </conditionalFormatting>
  <conditionalFormatting sqref="O84">
    <cfRule type="cellIs" priority="186" dxfId="141" operator="notEqual" stopIfTrue="1">
      <formula>0</formula>
    </cfRule>
  </conditionalFormatting>
  <conditionalFormatting sqref="L135">
    <cfRule type="cellIs" priority="196" dxfId="141" operator="notEqual" stopIfTrue="1">
      <formula>0</formula>
    </cfRule>
  </conditionalFormatting>
  <conditionalFormatting sqref="O135 O143:O146">
    <cfRule type="cellIs" priority="194" dxfId="141" operator="notEqual" stopIfTrue="1">
      <formula>0</formula>
    </cfRule>
  </conditionalFormatting>
  <conditionalFormatting sqref="M84 M135 M143:M146">
    <cfRule type="cellIs" priority="177" dxfId="141" operator="notEqual" stopIfTrue="1">
      <formula>0</formula>
    </cfRule>
  </conditionalFormatting>
  <conditionalFormatting sqref="M150:M151">
    <cfRule type="cellIs" priority="176" dxfId="144" operator="equal" stopIfTrue="1">
      <formula>"НЕРАВНЕНИЕ!"</formula>
    </cfRule>
  </conditionalFormatting>
  <conditionalFormatting sqref="M153:M154">
    <cfRule type="cellIs" priority="175" dxfId="144" operator="equal" stopIfTrue="1">
      <formula>"НЕРАВНЕНИЕ !"</formula>
    </cfRule>
  </conditionalFormatting>
  <conditionalFormatting sqref="M153:M154">
    <cfRule type="cellIs" priority="174" dxfId="144" operator="notEqual">
      <formula>0</formula>
    </cfRule>
  </conditionalFormatting>
  <conditionalFormatting sqref="P84 P135 P143:P146">
    <cfRule type="cellIs" priority="173" dxfId="141" operator="notEqual" stopIfTrue="1">
      <formula>0</formula>
    </cfRule>
  </conditionalFormatting>
  <conditionalFormatting sqref="P150:P151">
    <cfRule type="cellIs" priority="172" dxfId="144" operator="equal" stopIfTrue="1">
      <formula>"НЕРАВНЕНИЕ!"</formula>
    </cfRule>
  </conditionalFormatting>
  <conditionalFormatting sqref="P153:P154">
    <cfRule type="cellIs" priority="171" dxfId="144" operator="equal" stopIfTrue="1">
      <formula>"НЕРАВНЕНИЕ !"</formula>
    </cfRule>
  </conditionalFormatting>
  <conditionalFormatting sqref="P153:P154">
    <cfRule type="cellIs" priority="170" dxfId="144" operator="notEqual">
      <formula>0</formula>
    </cfRule>
  </conditionalFormatting>
  <conditionalFormatting sqref="B3">
    <cfRule type="cellIs" priority="166" dxfId="145" operator="equal" stopIfTrue="1">
      <formula>0</formula>
    </cfRule>
  </conditionalFormatting>
  <conditionalFormatting sqref="G2:H2">
    <cfRule type="cellIs" priority="164" dxfId="144" operator="equal">
      <formula>"отчетено НЕРАВНЕНИЕ в таблица 'Status'!"</formula>
    </cfRule>
    <cfRule type="cellIs" priority="165" dxfId="146" operator="equal">
      <formula>0</formula>
    </cfRule>
  </conditionalFormatting>
  <conditionalFormatting sqref="J2">
    <cfRule type="cellIs" priority="163" dxfId="144" operator="notEqual">
      <formula>0</formula>
    </cfRule>
  </conditionalFormatting>
  <conditionalFormatting sqref="M2:N2">
    <cfRule type="cellIs" priority="162" dxfId="144" operator="notEqual">
      <formula>0</formula>
    </cfRule>
  </conditionalFormatting>
  <conditionalFormatting sqref="H1">
    <cfRule type="cellIs" priority="160" dxfId="144" operator="equal">
      <formula>"отчетено НЕРАВНЕНИЕ в таблица 'Status'!"</formula>
    </cfRule>
    <cfRule type="cellIs" priority="161" dxfId="146" operator="equal">
      <formula>0</formula>
    </cfRule>
  </conditionalFormatting>
  <conditionalFormatting sqref="K1">
    <cfRule type="cellIs" priority="159" dxfId="144" operator="notEqual">
      <formula>0</formula>
    </cfRule>
  </conditionalFormatting>
  <conditionalFormatting sqref="M1">
    <cfRule type="cellIs" priority="158" dxfId="145" operator="equal" stopIfTrue="1">
      <formula>0</formula>
    </cfRule>
  </conditionalFormatting>
  <conditionalFormatting sqref="N1">
    <cfRule type="cellIs" priority="157" dxfId="144" operator="notEqual">
      <formula>0</formula>
    </cfRule>
  </conditionalFormatting>
  <conditionalFormatting sqref="P1">
    <cfRule type="cellIs" priority="156" dxfId="145" operator="equal" stopIfTrue="1">
      <formula>0</formula>
    </cfRule>
  </conditionalFormatting>
  <conditionalFormatting sqref="S1:T1">
    <cfRule type="cellIs" priority="140" dxfId="147" operator="between" stopIfTrue="1">
      <formula>1000000000000</formula>
      <formula>9999999999999990</formula>
    </cfRule>
    <cfRule type="cellIs" priority="141" dxfId="148" operator="between" stopIfTrue="1">
      <formula>10000000000</formula>
      <formula>999999999999</formula>
    </cfRule>
    <cfRule type="cellIs" priority="142" dxfId="149" operator="between" stopIfTrue="1">
      <formula>1000000</formula>
      <formula>99999999</formula>
    </cfRule>
    <cfRule type="cellIs" priority="143" dxfId="150" operator="between" stopIfTrue="1">
      <formula>100</formula>
      <formula>9999</formula>
    </cfRule>
  </conditionalFormatting>
  <conditionalFormatting sqref="B84">
    <cfRule type="cellIs" priority="139" dxfId="142" operator="notEqual" stopIfTrue="1">
      <formula>0</formula>
    </cfRule>
    <cfRule type="cellIs" priority="138" dxfId="151" operator="equal">
      <formula>0</formula>
    </cfRule>
  </conditionalFormatting>
  <conditionalFormatting sqref="B127 R127">
    <cfRule type="expression" priority="137" dxfId="152" stopIfTrue="1">
      <formula>$M$1=9900</formula>
    </cfRule>
  </conditionalFormatting>
  <conditionalFormatting sqref="F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B5:C5">
    <cfRule type="cellIs" priority="28" dxfId="143" operator="equal" stopIfTrue="1">
      <formula>0</formula>
    </cfRule>
  </conditionalFormatting>
  <conditionalFormatting sqref="F168:G168">
    <cfRule type="cellIs" priority="22" dxfId="144" operator="equal" stopIfTrue="1">
      <formula>"НЕРАВНЕНИЕ !"</formula>
    </cfRule>
    <cfRule type="cellIs" priority="23" dxfId="16" operator="equal" stopIfTrue="1">
      <formula>"НЕРАВНЕНИЕ !"</formula>
    </cfRule>
  </conditionalFormatting>
  <conditionalFormatting sqref="P168">
    <cfRule type="cellIs" priority="15" dxfId="144" operator="notEqual">
      <formula>0</formula>
    </cfRule>
  </conditionalFormatting>
  <conditionalFormatting sqref="F164">
    <cfRule type="cellIs" priority="27" dxfId="146" operator="equal">
      <formula>0</formula>
    </cfRule>
  </conditionalFormatting>
  <conditionalFormatting sqref="G164">
    <cfRule type="cellIs" priority="26" dxfId="146" operator="equal">
      <formula>0</formula>
    </cfRule>
  </conditionalFormatting>
  <conditionalFormatting sqref="O164">
    <cfRule type="cellIs" priority="25" dxfId="146" operator="equal">
      <formula>0</formula>
    </cfRule>
  </conditionalFormatting>
  <conditionalFormatting sqref="P164">
    <cfRule type="cellIs" priority="24" dxfId="146" operator="equal">
      <formula>0</formula>
    </cfRule>
  </conditionalFormatting>
  <conditionalFormatting sqref="O168 I168:J168">
    <cfRule type="cellIs" priority="21" dxfId="144" operator="equal" stopIfTrue="1">
      <formula>"НЕРАВНЕНИЕ !"</formula>
    </cfRule>
  </conditionalFormatting>
  <conditionalFormatting sqref="L168 N168">
    <cfRule type="cellIs" priority="20" dxfId="144" operator="equal" stopIfTrue="1">
      <formula>"НЕРАВНЕНИЕ !"</formula>
    </cfRule>
  </conditionalFormatting>
  <conditionalFormatting sqref="L168 O168 F168:G168 I168:J168">
    <cfRule type="cellIs" priority="19" dxfId="144" operator="notEqual">
      <formula>0</formula>
    </cfRule>
  </conditionalFormatting>
  <conditionalFormatting sqref="M168">
    <cfRule type="cellIs" priority="18" dxfId="144" operator="equal" stopIfTrue="1">
      <formula>"НЕРАВНЕНИЕ !"</formula>
    </cfRule>
  </conditionalFormatting>
  <conditionalFormatting sqref="M168">
    <cfRule type="cellIs" priority="17" dxfId="144" operator="notEqual">
      <formula>0</formula>
    </cfRule>
  </conditionalFormatting>
  <conditionalFormatting sqref="P168">
    <cfRule type="cellIs" priority="16" dxfId="144" operator="equal" stopIfTrue="1">
      <formula>"НЕРАВНЕНИЕ !"</formula>
    </cfRule>
  </conditionalFormatting>
  <conditionalFormatting sqref="I164">
    <cfRule type="cellIs" priority="14" dxfId="146" operator="equal">
      <formula>0</formula>
    </cfRule>
  </conditionalFormatting>
  <conditionalFormatting sqref="J164">
    <cfRule type="cellIs" priority="13" dxfId="146" operator="equal">
      <formula>0</formula>
    </cfRule>
  </conditionalFormatting>
  <conditionalFormatting sqref="L164">
    <cfRule type="cellIs" priority="12" dxfId="146" operator="equal">
      <formula>0</formula>
    </cfRule>
  </conditionalFormatting>
  <conditionalFormatting sqref="M164">
    <cfRule type="cellIs" priority="11" dxfId="146" operator="equal">
      <formula>0</formula>
    </cfRule>
  </conditionalFormatting>
  <conditionalFormatting sqref="F167:G167">
    <cfRule type="cellIs" priority="9" dxfId="144" operator="equal" stopIfTrue="1">
      <formula>"НЕРАВНЕНИЕ!"</formula>
    </cfRule>
    <cfRule type="cellIs" priority="10" dxfId="16" operator="equal" stopIfTrue="1">
      <formula>"НЕРАВНЕНИЕ!"</formula>
    </cfRule>
  </conditionalFormatting>
  <conditionalFormatting sqref="O167 I167:J167">
    <cfRule type="cellIs" priority="8" dxfId="144" operator="equal" stopIfTrue="1">
      <formula>"НЕРАВНЕНИЕ!"</formula>
    </cfRule>
  </conditionalFormatting>
  <conditionalFormatting sqref="L167 N167">
    <cfRule type="cellIs" priority="7" dxfId="144" operator="equal" stopIfTrue="1">
      <formula>"НЕРАВНЕНИЕ!"</formula>
    </cfRule>
  </conditionalFormatting>
  <conditionalFormatting sqref="M167">
    <cfRule type="cellIs" priority="6" dxfId="144" operator="equal" stopIfTrue="1">
      <formula>"НЕРАВНЕНИЕ!"</formula>
    </cfRule>
  </conditionalFormatting>
  <conditionalFormatting sqref="P167">
    <cfRule type="cellIs" priority="5" dxfId="144" operator="equal" stopIfTrue="1">
      <formula>"НЕРАВНЕНИЕ!"</formula>
    </cfRule>
  </conditionalFormatting>
  <conditionalFormatting sqref="O170:P171 L170:M171 I170:J171 F170:G171">
    <cfRule type="cellIs" priority="4" dxfId="153" operator="equal" stopIfTrue="1">
      <formula>0</formula>
    </cfRule>
  </conditionalFormatting>
  <conditionalFormatting sqref="O173:P174">
    <cfRule type="cellIs" priority="3" dxfId="153" operator="equal" stopIfTrue="1">
      <formula>0</formula>
    </cfRule>
  </conditionalFormatting>
  <conditionalFormatting sqref="B6:C6">
    <cfRule type="cellIs" priority="2" dxfId="143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8" sqref="G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805" t="str">
        <f>+'Cash-Flow-2021-Leva'!B1:F1</f>
        <v>НАЦИОНАЛЕН ОСИГУРИТЕЛЕН ИНСТИТУТ</v>
      </c>
      <c r="C1" s="806"/>
      <c r="D1" s="806"/>
      <c r="E1" s="806"/>
      <c r="F1" s="807"/>
      <c r="G1" s="441" t="s">
        <v>244</v>
      </c>
      <c r="H1" s="124"/>
      <c r="I1" s="808">
        <f>+'Cash-Flow-2021-Leva'!I1:J1</f>
        <v>121082521</v>
      </c>
      <c r="J1" s="809"/>
      <c r="K1" s="442"/>
      <c r="L1" s="443" t="s">
        <v>245</v>
      </c>
      <c r="M1" s="444">
        <f>+'Cash-Flow-2021-Leva'!M1</f>
        <v>0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10">
        <f>+'Cash-Flow-2021-Leva'!$S$1</f>
        <v>0</v>
      </c>
      <c r="T1" s="811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12" t="s">
        <v>249</v>
      </c>
      <c r="C2" s="813"/>
      <c r="D2" s="813"/>
      <c r="E2" s="813"/>
      <c r="F2" s="814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15" t="str">
        <f>+'Cash-Flow-2021-Leva'!B3:F3</f>
        <v>[Седалище и адрес]</v>
      </c>
      <c r="C3" s="816"/>
      <c r="D3" s="816"/>
      <c r="E3" s="816"/>
      <c r="F3" s="817"/>
      <c r="G3" s="448" t="s">
        <v>238</v>
      </c>
      <c r="H3" s="818">
        <f>+'Cash-Flow-2021-Leva'!H3</f>
        <v>0</v>
      </c>
      <c r="I3" s="819"/>
      <c r="J3" s="819"/>
      <c r="K3" s="820"/>
      <c r="L3" s="51" t="s">
        <v>246</v>
      </c>
      <c r="M3" s="821">
        <f>+'Cash-Flow-2021-Leva'!M3:P3</f>
        <v>0</v>
      </c>
      <c r="N3" s="822"/>
      <c r="O3" s="822"/>
      <c r="P3" s="823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90">
        <f>+'Cash-Flow-2021-Leva'!B5</f>
        <v>0</v>
      </c>
      <c r="C5" s="690"/>
      <c r="D5" s="825" t="s">
        <v>243</v>
      </c>
      <c r="E5" s="825"/>
      <c r="F5" s="825"/>
      <c r="G5" s="825"/>
      <c r="H5" s="825"/>
      <c r="I5" s="825"/>
      <c r="J5" s="825"/>
      <c r="K5" s="825"/>
      <c r="L5" s="825"/>
      <c r="M5" s="39"/>
      <c r="N5" s="39"/>
      <c r="O5" s="53" t="s">
        <v>17</v>
      </c>
      <c r="P5" s="452">
        <f>+'Cash-Flow-2021-Leva'!P5</f>
        <v>2021</v>
      </c>
      <c r="Q5" s="39"/>
      <c r="R5" s="824" t="s">
        <v>180</v>
      </c>
      <c r="S5" s="824"/>
      <c r="T5" s="824"/>
      <c r="U5" s="6"/>
    </row>
    <row r="6" spans="1:28" s="3" customFormat="1" ht="17.25" customHeight="1">
      <c r="A6" s="6"/>
      <c r="B6" s="833">
        <f>+'Cash-Flow-2021-Leva'!B6</f>
        <v>0</v>
      </c>
      <c r="C6" s="833"/>
      <c r="D6" s="825" t="s">
        <v>242</v>
      </c>
      <c r="E6" s="825"/>
      <c r="F6" s="825"/>
      <c r="G6" s="825"/>
      <c r="H6" s="825"/>
      <c r="I6" s="825"/>
      <c r="J6" s="825"/>
      <c r="K6" s="825"/>
      <c r="L6" s="825"/>
      <c r="M6" s="42"/>
      <c r="N6" s="5"/>
      <c r="O6" s="6"/>
      <c r="P6" s="6"/>
      <c r="Q6" s="1"/>
      <c r="R6" s="826">
        <f>+P4</f>
        <v>0</v>
      </c>
      <c r="S6" s="826"/>
      <c r="T6" s="82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7" t="str">
        <f>+B1</f>
        <v>НАЦИОНАЛЕН ОСИГУРИТЕЛЕН ИНСТИТУТ</v>
      </c>
      <c r="E8" s="827"/>
      <c r="F8" s="827"/>
      <c r="G8" s="827"/>
      <c r="H8" s="827"/>
      <c r="I8" s="827"/>
      <c r="J8" s="827"/>
      <c r="K8" s="827"/>
      <c r="L8" s="827"/>
      <c r="M8" s="449" t="s">
        <v>247</v>
      </c>
      <c r="N8" s="5"/>
      <c r="O8" s="600" t="str">
        <f>+'Cash-Flow-2021-Leva'!O8</f>
        <v>31.03.2021 г.</v>
      </c>
      <c r="P8" s="450" t="s">
        <v>8</v>
      </c>
      <c r="Q8" s="1"/>
      <c r="R8" s="828">
        <f>+P5</f>
        <v>2021</v>
      </c>
      <c r="S8" s="829"/>
      <c r="T8" s="83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31.03.2021 г.</v>
      </c>
      <c r="G11" s="399">
        <f>+'Cash-Flow-2021-Leva'!G11</f>
        <v>2020</v>
      </c>
      <c r="H11" s="5"/>
      <c r="I11" s="592" t="str">
        <f>+O8</f>
        <v>31.03.2021 г.</v>
      </c>
      <c r="J11" s="400">
        <f>+'Cash-Flow-2021-Leva'!J11</f>
        <v>2020</v>
      </c>
      <c r="K11" s="5"/>
      <c r="L11" s="593" t="str">
        <f>+O8</f>
        <v>31.03.2021 г.</v>
      </c>
      <c r="M11" s="401">
        <f>+'Cash-Flow-2021-Leva'!M11</f>
        <v>2020</v>
      </c>
      <c r="N11" s="465"/>
      <c r="O11" s="594" t="str">
        <f>+O8</f>
        <v>31.03.2021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16587.196</v>
      </c>
      <c r="G15" s="258">
        <f>+'Cash-Flow-2021-Leva'!G15/1000</f>
        <v>73740.595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16587.196</v>
      </c>
      <c r="P15" s="381">
        <f aca="true" t="shared" si="1" ref="P15:P24">+G15+J15+M15</f>
        <v>73740.595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0</v>
      </c>
      <c r="G18" s="258">
        <f>+'Cash-Flow-2021-Leva'!G18/1000</f>
        <v>0.081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0</v>
      </c>
      <c r="P18" s="381">
        <f t="shared" si="1"/>
        <v>0.081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0</v>
      </c>
      <c r="G19" s="281">
        <f>+'Cash-Flow-2021-Leva'!G19/1000</f>
        <v>0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0</v>
      </c>
      <c r="P19" s="415">
        <f t="shared" si="1"/>
        <v>0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0</v>
      </c>
      <c r="G20" s="281">
        <f>+'Cash-Flow-2021-Leva'!G20/1000</f>
        <v>0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0</v>
      </c>
      <c r="P20" s="415">
        <f t="shared" si="1"/>
        <v>0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3472.387</v>
      </c>
      <c r="G22" s="281">
        <f>+'Cash-Flow-2021-Leva'!G22/1000</f>
        <v>9436.831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3472.387</v>
      </c>
      <c r="P22" s="415">
        <f t="shared" si="1"/>
        <v>9436.831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0</v>
      </c>
      <c r="G24" s="270">
        <f>+'Cash-Flow-2021-Leva'!G24/1000</f>
        <v>0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0</v>
      </c>
      <c r="P24" s="387">
        <f t="shared" si="1"/>
        <v>0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20059.583</v>
      </c>
      <c r="G25" s="238">
        <f>+SUM(G15,G16,G18,G19,G20,G21,G22,G23,G24)</f>
        <v>83177.50700000001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20059.583</v>
      </c>
      <c r="P25" s="366">
        <f>+SUM(P15,P16,P18,P19,P20,P21,P22,P23,P24)</f>
        <v>83177.50700000001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0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0</v>
      </c>
      <c r="G37" s="238">
        <f>+'Cash-Flow-2021-Leva'!G37/1000</f>
        <v>0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0</v>
      </c>
      <c r="P37" s="366">
        <f t="shared" si="3"/>
        <v>0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0</v>
      </c>
      <c r="G38" s="283">
        <f>+'Cash-Flow-2021-Leva'!G38/1000</f>
        <v>0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0</v>
      </c>
      <c r="P38" s="416">
        <f t="shared" si="3"/>
        <v>0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0</v>
      </c>
      <c r="G39" s="285">
        <f>+'Cash-Flow-2021-Leva'!G39/1000</f>
        <v>0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0</v>
      </c>
      <c r="P39" s="417">
        <f t="shared" si="3"/>
        <v>0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0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0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20059.583</v>
      </c>
      <c r="G50" s="260">
        <f>+G25+G30+G37+G42+G48</f>
        <v>83177.50700000001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20059.583</v>
      </c>
      <c r="P50" s="383">
        <f>+P25+P30+P37+P42+P48</f>
        <v>83177.50700000001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0</v>
      </c>
      <c r="G53" s="231">
        <f>+'Cash-Flow-2021-Leva'!G53/1000</f>
        <v>0</v>
      </c>
      <c r="H53" s="280"/>
      <c r="I53" s="241">
        <f>+'Cash-Flow-2021-Leva'!I53/1000</f>
        <v>0</v>
      </c>
      <c r="J53" s="231">
        <f>+'Cash-Flow-2021-Leva'!J53/1000</f>
        <v>0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0</v>
      </c>
      <c r="P53" s="362">
        <f t="shared" si="5"/>
        <v>0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8.638</v>
      </c>
      <c r="G54" s="270">
        <f>+'Cash-Flow-2021-Leva'!G54/1000</f>
        <v>16.803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8.638</v>
      </c>
      <c r="P54" s="387">
        <f t="shared" si="5"/>
        <v>16.803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0</v>
      </c>
      <c r="G55" s="270">
        <f>+'Cash-Flow-2021-Leva'!G55/1000</f>
        <v>0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0</v>
      </c>
      <c r="P55" s="387">
        <f t="shared" si="5"/>
        <v>0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0</v>
      </c>
      <c r="G56" s="270">
        <f>+'Cash-Flow-2021-Leva'!G56/1000</f>
        <v>0</v>
      </c>
      <c r="H56" s="280"/>
      <c r="I56" s="271">
        <f>+'Cash-Flow-2021-Leva'!I56/1000</f>
        <v>0</v>
      </c>
      <c r="J56" s="270">
        <f>+'Cash-Flow-2021-Leva'!J56/1000</f>
        <v>0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0</v>
      </c>
      <c r="P56" s="387">
        <f t="shared" si="5"/>
        <v>0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0</v>
      </c>
      <c r="G57" s="270">
        <f>+'Cash-Flow-2021-Leva'!G57/1000</f>
        <v>0</v>
      </c>
      <c r="H57" s="280"/>
      <c r="I57" s="271">
        <f>+'Cash-Flow-2021-Leva'!I57/1000</f>
        <v>0</v>
      </c>
      <c r="J57" s="270">
        <f>+'Cash-Flow-2021-Leva'!J57/1000</f>
        <v>0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0</v>
      </c>
      <c r="P57" s="387">
        <f t="shared" si="5"/>
        <v>0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8.638</v>
      </c>
      <c r="G58" s="264">
        <f>+SUM(G53:G57)</f>
        <v>16.803</v>
      </c>
      <c r="H58" s="280"/>
      <c r="I58" s="265">
        <f>+SUM(I53:I57)</f>
        <v>0</v>
      </c>
      <c r="J58" s="264">
        <f>+SUM(J53:J57)</f>
        <v>0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8.638</v>
      </c>
      <c r="P58" s="385">
        <f>+SUM(P53:P57)</f>
        <v>16.803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0</v>
      </c>
      <c r="G61" s="270">
        <f>+'Cash-Flow-2021-Leva'!G61/1000</f>
        <v>0</v>
      </c>
      <c r="H61" s="280"/>
      <c r="I61" s="271">
        <f>+'Cash-Flow-2021-Leva'!I61/1000</f>
        <v>0</v>
      </c>
      <c r="J61" s="270">
        <f>+'Cash-Flow-2021-Leva'!J61/1000</f>
        <v>0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0</v>
      </c>
      <c r="P61" s="387">
        <f t="shared" si="6"/>
        <v>0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0</v>
      </c>
      <c r="G62" s="270">
        <f>+'Cash-Flow-2021-Leva'!G62/1000</f>
        <v>0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0</v>
      </c>
      <c r="P62" s="387">
        <f t="shared" si="6"/>
        <v>0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0</v>
      </c>
      <c r="G65" s="264">
        <f>+SUM(G60:G63)</f>
        <v>0</v>
      </c>
      <c r="H65" s="280"/>
      <c r="I65" s="265">
        <f>+SUM(I60:I63)</f>
        <v>0</v>
      </c>
      <c r="J65" s="264">
        <f>+SUM(J60:J63)</f>
        <v>0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0</v>
      </c>
      <c r="P65" s="385">
        <f>+SUM(P60:P63)</f>
        <v>0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12828.026</v>
      </c>
      <c r="G71" s="231">
        <f>+'Cash-Flow-2021-Leva'!G71/1000</f>
        <v>46637.351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12828.026</v>
      </c>
      <c r="P71" s="362">
        <f>+G71+J71+M71</f>
        <v>46637.351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12828.026</v>
      </c>
      <c r="G73" s="264">
        <f>+SUM(G71:G72)</f>
        <v>46637.351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12828.026</v>
      </c>
      <c r="P73" s="385">
        <f>+SUM(P71:P72)</f>
        <v>46637.351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0</v>
      </c>
      <c r="P75" s="362">
        <f>+G75+J75+M75</f>
        <v>0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0</v>
      </c>
      <c r="P77" s="385">
        <f>+SUM(P75:P76)</f>
        <v>0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12836.664</v>
      </c>
      <c r="G79" s="275">
        <f>+G58+G65+G69+G73+G77</f>
        <v>46654.154</v>
      </c>
      <c r="H79" s="280"/>
      <c r="I79" s="272">
        <f>+I58+I65+I69+I73+I77</f>
        <v>0</v>
      </c>
      <c r="J79" s="275">
        <f>+J58+J65+J69+J73+J77</f>
        <v>0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12836.664</v>
      </c>
      <c r="P79" s="395">
        <f>+P58+P65+P69+P73+P77</f>
        <v>46654.154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0</v>
      </c>
      <c r="G81" s="258">
        <f>+'Cash-Flow-2021-Leva'!G81/1000</f>
        <v>0</v>
      </c>
      <c r="H81" s="280"/>
      <c r="I81" s="259">
        <f>+'Cash-Flow-2021-Leva'!I81/1000</f>
        <v>0</v>
      </c>
      <c r="J81" s="258">
        <f>+'Cash-Flow-2021-Leva'!J81/1000</f>
        <v>0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0</v>
      </c>
      <c r="P81" s="381">
        <f>+G81+J81+M81</f>
        <v>0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0</v>
      </c>
      <c r="G83" s="273">
        <f>+G81+G82</f>
        <v>0</v>
      </c>
      <c r="H83" s="280"/>
      <c r="I83" s="274">
        <f>+I81+I82</f>
        <v>0</v>
      </c>
      <c r="J83" s="273">
        <f>+J81+J82</f>
        <v>0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0</v>
      </c>
      <c r="P83" s="390">
        <f>+P81+P82</f>
        <v>0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3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32"/>
      <c r="D84" s="832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7222.918999999998</v>
      </c>
      <c r="G85" s="294">
        <f>+G50-G79+G83</f>
        <v>36523.35300000001</v>
      </c>
      <c r="H85" s="280"/>
      <c r="I85" s="295">
        <f>+I50-I79+I83</f>
        <v>0</v>
      </c>
      <c r="J85" s="294">
        <f>+J50-J79+J83</f>
        <v>0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7222.918999999998</v>
      </c>
      <c r="P85" s="392">
        <f>+P50-P79+P83</f>
        <v>36523.35300000001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-7222.918999999994</v>
      </c>
      <c r="G86" s="296">
        <f>+G103+G122+G129-G134</f>
        <v>-36523.35300000002</v>
      </c>
      <c r="H86" s="280"/>
      <c r="I86" s="297">
        <f>+I103+I122+I129-I134</f>
        <v>0</v>
      </c>
      <c r="J86" s="296">
        <f>+J103+J122+J129-J134</f>
        <v>0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-7222.918999999994</v>
      </c>
      <c r="P86" s="394">
        <f>+P103+P122+P129-P134</f>
        <v>-36523.35300000002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43192.662</v>
      </c>
      <c r="G99" s="258">
        <f>+'Cash-Flow-2021-Leva'!G99/1000</f>
        <v>84017.112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43192.662</v>
      </c>
      <c r="P99" s="381">
        <f>+G99+J99+M99</f>
        <v>84017.112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43192.662</v>
      </c>
      <c r="G101" s="238">
        <f>+SUM(G99:G100)</f>
        <v>84017.112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43192.662</v>
      </c>
      <c r="P101" s="366">
        <f>+SUM(P99:P100)</f>
        <v>84017.112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43192.662</v>
      </c>
      <c r="G103" s="260">
        <f>+G91+G97+G101</f>
        <v>84017.112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43192.662</v>
      </c>
      <c r="P103" s="383">
        <f>+P91+P97+P101</f>
        <v>84017.112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0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0</v>
      </c>
      <c r="M118" s="231">
        <f>+'Cash-Flow-2021-Leva'!M118/1000</f>
        <v>0</v>
      </c>
      <c r="N118" s="466"/>
      <c r="O118" s="369">
        <f>+F118+I118+L118</f>
        <v>0</v>
      </c>
      <c r="P118" s="362">
        <f>+G118+J118+M118</f>
        <v>0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0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0</v>
      </c>
      <c r="M120" s="264">
        <f>+SUM(M118:M119)</f>
        <v>0</v>
      </c>
      <c r="N120" s="466"/>
      <c r="O120" s="384">
        <f>+SUM(O118:O119)</f>
        <v>0</v>
      </c>
      <c r="P120" s="385">
        <f>+SUM(P118:P119)</f>
        <v>0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0</v>
      </c>
      <c r="G122" s="275">
        <f>+G108+G112+G116+G120</f>
        <v>0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0</v>
      </c>
      <c r="M122" s="275">
        <f>+M108+M112+M116+M120</f>
        <v>0</v>
      </c>
      <c r="N122" s="466"/>
      <c r="O122" s="388">
        <f>+O108+O112+O116+O120</f>
        <v>0</v>
      </c>
      <c r="P122" s="395">
        <f>+P108+P112+P116+P120</f>
        <v>0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-340.4</v>
      </c>
      <c r="G125" s="270">
        <f>+'Cash-Flow-2021-Leva'!G125/1000</f>
        <v>-1006.988</v>
      </c>
      <c r="H125" s="280"/>
      <c r="I125" s="271">
        <f>+'Cash-Flow-2021-Leva'!I125/1000</f>
        <v>0</v>
      </c>
      <c r="J125" s="270">
        <f>+'Cash-Flow-2021-Leva'!J125/1000</f>
        <v>0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-340.4</v>
      </c>
      <c r="P125" s="387">
        <f t="shared" si="8"/>
        <v>-1006.988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48.559</v>
      </c>
      <c r="G126" s="270">
        <f>+'Cash-Flow-2021-Leva'!G126/1000</f>
        <v>-49.269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48.559</v>
      </c>
      <c r="P126" s="387">
        <f t="shared" si="8"/>
        <v>-49.269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-291.841</v>
      </c>
      <c r="G129" s="273">
        <f>+SUM(G124,G125,G126,G128)</f>
        <v>-1056.257</v>
      </c>
      <c r="H129" s="280"/>
      <c r="I129" s="274">
        <f>+SUM(I124,I125,I126,I128)</f>
        <v>0</v>
      </c>
      <c r="J129" s="273">
        <f>+SUM(J124,J125,J126,J128)</f>
        <v>0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-291.841</v>
      </c>
      <c r="P129" s="390">
        <f>+SUM(P124,P125,P126,P128)</f>
        <v>-1056.257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299302.531</v>
      </c>
      <c r="G131" s="258">
        <f>+'Cash-Flow-2021-Leva'!G131/1000</f>
        <v>179818.323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0</v>
      </c>
      <c r="M131" s="258">
        <f>+'Cash-Flow-2021-Leva'!M131/1000</f>
        <v>0</v>
      </c>
      <c r="N131" s="466"/>
      <c r="O131" s="368">
        <f aca="true" t="shared" si="9" ref="O131:P133">+F131+I131+L131</f>
        <v>299302.531</v>
      </c>
      <c r="P131" s="381">
        <f t="shared" si="9"/>
        <v>179818.323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349426.271</v>
      </c>
      <c r="G133" s="270">
        <f>+'Cash-Flow-2021-Leva'!G133/1000</f>
        <v>299302.531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0</v>
      </c>
      <c r="M133" s="270">
        <f>+'Cash-Flow-2021-Leva'!M133/1000</f>
        <v>0</v>
      </c>
      <c r="N133" s="466"/>
      <c r="O133" s="364">
        <f t="shared" si="9"/>
        <v>349426.271</v>
      </c>
      <c r="P133" s="387">
        <f t="shared" si="9"/>
        <v>299302.531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50123.73999999999</v>
      </c>
      <c r="G134" s="278">
        <f>+G133-G131-G132</f>
        <v>119484.20800000001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0</v>
      </c>
      <c r="M134" s="278">
        <f>+M133-M131-M132</f>
        <v>0</v>
      </c>
      <c r="N134" s="466"/>
      <c r="O134" s="397">
        <f>+O133-O131-O132</f>
        <v>50123.73999999999</v>
      </c>
      <c r="P134" s="398">
        <f>+P133-P131-P132</f>
        <v>119484.20800000001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3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31"/>
      <c r="D135" s="831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50123.73999999999</v>
      </c>
      <c r="G142" s="278">
        <f>+G134+G140</f>
        <v>119484.20800000001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0</v>
      </c>
      <c r="M142" s="540">
        <f>+M134+M140</f>
        <v>0</v>
      </c>
      <c r="N142" s="466"/>
      <c r="O142" s="552">
        <f>+O134+O140</f>
        <v>50123.73999999999</v>
      </c>
      <c r="P142" s="553">
        <f>+P134+P140</f>
        <v>119484.20800000001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10052021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Олга В. Георгиева</cp:lastModifiedBy>
  <cp:lastPrinted>2020-03-18T16:57:49Z</cp:lastPrinted>
  <dcterms:created xsi:type="dcterms:W3CDTF">2015-12-01T07:17:04Z</dcterms:created>
  <dcterms:modified xsi:type="dcterms:W3CDTF">2021-05-07T07:47:39Z</dcterms:modified>
  <cp:category/>
  <cp:version/>
  <cp:contentType/>
  <cp:contentStatus/>
</cp:coreProperties>
</file>