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<sst xmlns="http://schemas.openxmlformats.org/spreadsheetml/2006/main" count="673" uniqueCount="458">
  <si>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</si>
  <si>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</si>
  <si>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</si>
  <si>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</si>
  <si>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</si>
  <si>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</si>
  <si>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</si>
  <si>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</si>
  <si>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</si>
  <si>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</si>
  <si>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</si>
  <si>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</si>
  <si>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</si>
  <si>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</si>
  <si>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</si>
  <si>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</si>
  <si>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</si>
  <si>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</si>
  <si>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</si>
  <si>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</si>
  <si>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</si>
  <si>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</si>
  <si>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</si>
  <si>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</si>
  <si>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</si>
  <si>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</si>
  <si>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</si>
  <si>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</si>
  <si>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</si>
  <si>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</si>
  <si>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</si>
  <si>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</si>
  <si>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</si>
  <si>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</si>
  <si>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</si>
  <si>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</si>
  <si>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</si>
  <si>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</si>
  <si>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</si>
  <si>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</si>
  <si>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</si>
  <si>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</si>
  <si>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</si>
  <si>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</si>
  <si>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</si>
  <si>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</si>
  <si>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</si>
  <si>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</si>
  <si>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</si>
  <si>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</si>
  <si>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</si>
  <si>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</si>
  <si>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</si>
  <si>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</si>
  <si>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</si>
  <si>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</si>
  <si>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</si>
  <si>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</si>
  <si>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</si>
  <si>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</si>
  <si>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</si>
  <si>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</si>
  <si>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</si>
  <si>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</si>
  <si>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</si>
  <si>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</si>
  <si>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</si>
  <si>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</si>
  <si>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</si>
  <si>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</si>
  <si>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</si>
  <si>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</si>
  <si>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</si>
  <si>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</si>
  <si>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</si>
  <si>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</si>
  <si>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</si>
  <si>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</si>
  <si>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</si>
  <si>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</si>
  <si>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</si>
  <si>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</si>
  <si>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</si>
  <si>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</si>
  <si>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</si>
  <si>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</si>
  <si>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</si>
  <si>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</si>
  <si>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</si>
  <si>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</si>
  <si>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</si>
  <si>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</si>
  <si>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</si>
  <si>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</si>
  <si>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</si>
  <si>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</si>
  <si>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</si>
  <si>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</si>
  <si>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</si>
  <si>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</si>
  <si>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</si>
  <si>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</si>
  <si>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</si>
  <si>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</si>
  <si>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</si>
  <si>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</si>
  <si>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</si>
  <si>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</si>
  <si>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</si>
  <si>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</si>
  <si>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</si>
  <si>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</si>
  <si>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</si>
  <si>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</si>
  <si>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</si>
  <si>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</si>
  <si>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</si>
  <si>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</si>
  <si>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</si>
  <si>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</si>
  <si>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</si>
  <si>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</si>
  <si>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</si>
  <si>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</si>
  <si>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</si>
  <si>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</si>
  <si>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</si>
  <si>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</si>
  <si>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</si>
  <si>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</si>
  <si>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</si>
  <si>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</si>
  <si>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</si>
  <si>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</si>
  <si>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</si>
  <si>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</si>
  <si>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</si>
  <si>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</si>
  <si>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</si>
  <si>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</si>
  <si>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</si>
  <si>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</si>
  <si>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</si>
  <si>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</si>
  <si>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</si>
  <si>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</si>
  <si>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</si>
  <si>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</si>
  <si>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</si>
  <si>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</si>
  <si>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</si>
  <si>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</si>
  <si>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</si>
  <si>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</si>
  <si>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</si>
  <si>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</si>
  <si>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</si>
  <si>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</si>
  <si>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</si>
  <si>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</si>
  <si>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</si>
  <si>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</si>
  <si>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</si>
  <si>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</si>
  <si>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</si>
  <si>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</si>
  <si>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</si>
  <si>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</si>
  <si>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</si>
  <si>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</si>
  <si>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</si>
  <si>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</si>
  <si>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</si>
  <si>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</si>
  <si>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</si>
  <si>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</si>
  <si>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</si>
  <si>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</si>
  <si>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</si>
  <si>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</si>
  <si>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</si>
  <si>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</si>
  <si>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</si>
  <si>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</si>
  <si>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</si>
  <si>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</si>
  <si>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</si>
  <si>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</si>
  <si>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</si>
  <si>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</si>
  <si>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</si>
  <si>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</si>
  <si>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</si>
  <si>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</si>
  <si>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</si>
  <si>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</si>
  <si>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</si>
  <si>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</si>
  <si>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</si>
  <si>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</si>
  <si>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</si>
  <si>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</si>
  <si>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</si>
  <si>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</si>
  <si>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</si>
  <si>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</si>
  <si>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</si>
  <si>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</si>
  <si>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</si>
  <si>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</si>
  <si>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</si>
  <si>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</si>
  <si>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</si>
  <si>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</si>
  <si>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</si>
  <si>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</si>
  <si>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</si>
  <si>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</si>
  <si>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</si>
  <si>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</si>
  <si>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</si>
  <si>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</si>
  <si>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</si>
  <si>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</si>
  <si>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</si>
  <si>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</si>
  <si>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</si>
  <si>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</si>
  <si>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</si>
  <si>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</si>
  <si>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</si>
  <si>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</si>
  <si>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</si>
  <si>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</si>
  <si>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</si>
  <si>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</si>
  <si>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</si>
  <si>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</si>
  <si>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</si>
  <si>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</si>
  <si>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</si>
  <si>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</si>
  <si>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</si>
  <si>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</si>
  <si>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</si>
  <si>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</si>
  <si>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</si>
  <si>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</si>
  <si>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</si>
  <si>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</si>
  <si>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</si>
  <si>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</si>
  <si>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</si>
  <si>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</si>
  <si>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</si>
  <si>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</si>
  <si>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</si>
  <si>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</si>
  <si>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</si>
  <si>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</si>
  <si>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</si>
  <si>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</si>
  <si>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</si>
  <si>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</si>
  <si>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</si>
  <si>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</si>
  <si>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</si>
  <si>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</si>
  <si>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</si>
  <si>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</si>
  <si>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</si>
  <si>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</si>
  <si>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</si>
  <si>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</si>
  <si>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</si>
  <si>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</si>
  <si>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</si>
  <si>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</si>
  <si>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</si>
  <si>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</si>
  <si>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</si>
  <si>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</si>
  <si>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</si>
  <si>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</si>
  <si>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</si>
  <si>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</si>
  <si>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</si>
  <si>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</si>
  <si>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</si>
  <si>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</si>
  <si>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</si>
  <si>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</si>
  <si>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</si>
  <si>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</si>
  <si>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</si>
  <si>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</si>
  <si>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</si>
  <si>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</si>
  <si>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</si>
  <si>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</si>
  <si>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</si>
  <si>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</si>
  <si>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</si>
  <si>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</si>
  <si>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</si>
  <si>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</si>
  <si>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</si>
  <si>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</si>
  <si>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</si>
  <si>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</si>
  <si>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</si>
  <si>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</si>
  <si>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</si>
  <si>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</si>
  <si>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</si>
  <si>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</si>
  <si>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</si>
  <si>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</si>
  <si>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</si>
  <si>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</si>
  <si>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</si>
  <si>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</si>
  <si>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</si>
  <si>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</si>
  <si>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</si>
  <si>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</si>
  <si>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</si>
  <si>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</si>
  <si>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</si>
  <si>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</si>
  <si>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</si>
  <si>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</si>
  <si>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</si>
  <si>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</si>
  <si>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</si>
  <si>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</si>
  <si>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</si>
  <si>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</si>
  <si>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</si>
  <si>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</si>
  <si>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</si>
  <si>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</si>
  <si>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</si>
  <si>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</si>
  <si>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</si>
  <si>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</si>
  <si>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</si>
  <si>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</si>
  <si>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</si>
  <si>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</si>
  <si>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</si>
  <si>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</si>
  <si>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</si>
  <si>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</si>
  <si>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</si>
  <si>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</si>
  <si>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</si>
  <si>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</si>
  <si>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</si>
  <si>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</si>
  <si>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</si>
  <si>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</si>
  <si>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</si>
  <si>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</si>
  <si>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</si>
  <si>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</si>
  <si>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</si>
  <si>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</si>
  <si>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</si>
  <si>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</si>
  <si>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</si>
  <si>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</si>
  <si>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</si>
  <si>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</si>
  <si>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</si>
  <si>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</si>
  <si>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</si>
  <si>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</si>
  <si>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</si>
  <si>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</si>
  <si>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</si>
  <si>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</si>
  <si>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</si>
  <si>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</si>
  <si>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</si>
  <si>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</si>
  <si>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</si>
  <si>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</si>
  <si>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</si>
  <si>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</si>
  <si>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</si>
  <si>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</si>
  <si>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</si>
  <si>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</si>
  <si>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</si>
  <si>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</si>
  <si>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</si>
  <si>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</si>
  <si>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</si>
  <si>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</si>
  <si>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</si>
  <si>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</si>
  <si>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</si>
  <si>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</si>
  <si>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</si>
  <si>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</si>
  <si>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</si>
  <si>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</si>
  <si>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</si>
  <si>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</si>
  <si>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</si>
  <si>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</si>
  <si>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</si>
  <si>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</si>
  <si>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</si>
  <si>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</si>
  <si>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</si>
  <si>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</si>
  <si>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</si>
  <si>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</si>
  <si>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</si>
  <si>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</si>
  <si>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</si>
  <si>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</si>
  <si>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</si>
  <si>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</si>
  <si>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</si>
  <si>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</si>
  <si>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</si>
  <si>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</si>
  <si>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</si>
  <si>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</si>
  <si>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</si>
  <si>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</si>
  <si>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</si>
  <si>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</si>
  <si>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</si>
  <si>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</si>
  <si>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</si>
  <si>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</si>
  <si>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</si>
  <si>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</si>
  <si>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</si>
  <si>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</si>
  <si>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</si>
  <si>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</si>
  <si>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</si>
  <si>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</si>
  <si>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</si>
  <si>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</si>
  <si>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</si>
  <si>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</si>
  <si>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</si>
  <si>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</si>
  <si>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</si>
  <si>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НАЦИОНАЛЕН ОСИГУРИТЕЛЕН ИНСТИТУТ</t>
  </si>
  <si>
    <t>Димитър Недялков</t>
  </si>
  <si>
    <t>Ивайло Иванов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</si>
</sst>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i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5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2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1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3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4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2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5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6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4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0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0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57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2" fillId="43" borderId="53" xfId="65" applyNumberFormat="1" applyFont="1" applyFill="1" applyBorder="1" applyAlignment="1" applyProtection="1">
      <alignment/>
      <protection/>
    </xf>
    <xf numFmtId="38" fontId="22" fillId="43" borderId="54" xfId="65" applyNumberFormat="1" applyFont="1" applyFill="1" applyBorder="1" applyAlignment="1" applyProtection="1">
      <alignment/>
      <protection/>
    </xf>
    <xf numFmtId="38" fontId="22" fillId="43" borderId="47" xfId="65" applyNumberFormat="1" applyFont="1" applyFill="1" applyBorder="1" applyAlignment="1" applyProtection="1">
      <alignment/>
      <protection/>
    </xf>
    <xf numFmtId="38" fontId="22" fillId="43" borderId="48" xfId="65" applyNumberFormat="1" applyFont="1" applyFill="1" applyBorder="1" applyAlignment="1" applyProtection="1">
      <alignment/>
      <protection/>
    </xf>
    <xf numFmtId="38" fontId="22" fillId="43" borderId="49" xfId="65" applyNumberFormat="1" applyFont="1" applyFill="1" applyBorder="1" applyAlignment="1" applyProtection="1">
      <alignment/>
      <protection/>
    </xf>
    <xf numFmtId="38" fontId="22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2" fillId="43" borderId="43" xfId="65" applyNumberFormat="1" applyFont="1" applyFill="1" applyBorder="1" applyAlignment="1" applyProtection="1">
      <alignment/>
      <protection/>
    </xf>
    <xf numFmtId="38" fontId="22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58" fillId="33" borderId="27" xfId="0" applyNumberFormat="1" applyFont="1" applyFill="1" applyBorder="1" applyAlignment="1" applyProtection="1">
      <alignment horizontal="center"/>
      <protection locked="0"/>
    </xf>
    <xf numFmtId="183" fontId="158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2" fillId="43" borderId="51" xfId="65" applyNumberFormat="1" applyFont="1" applyFill="1" applyBorder="1" applyAlignment="1" applyProtection="1">
      <alignment/>
      <protection/>
    </xf>
    <xf numFmtId="38" fontId="22" fillId="43" borderId="59" xfId="65" applyNumberFormat="1" applyFont="1" applyFill="1" applyBorder="1" applyAlignment="1" applyProtection="1">
      <alignment/>
      <protection/>
    </xf>
    <xf numFmtId="38" fontId="22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2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59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0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0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0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0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0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0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0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0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0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2" fillId="43" borderId="42" xfId="65" applyNumberFormat="1" applyFont="1" applyFill="1" applyBorder="1" applyAlignment="1" applyProtection="1">
      <alignment horizontal="center"/>
      <protection/>
    </xf>
    <xf numFmtId="38" fontId="22" fillId="43" borderId="43" xfId="65" applyNumberFormat="1" applyFont="1" applyFill="1" applyBorder="1" applyAlignment="1" applyProtection="1">
      <alignment horizontal="center"/>
      <protection/>
    </xf>
    <xf numFmtId="38" fontId="22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1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2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2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5" fillId="39" borderId="102" xfId="0" applyNumberFormat="1" applyFont="1" applyFill="1" applyBorder="1" applyAlignment="1" applyProtection="1" quotePrefix="1">
      <alignment horizontal="center"/>
      <protection/>
    </xf>
    <xf numFmtId="191" fontId="161" fillId="41" borderId="102" xfId="0" applyNumberFormat="1" applyFont="1" applyFill="1" applyBorder="1" applyAlignment="1" applyProtection="1" quotePrefix="1">
      <alignment horizontal="center"/>
      <protection/>
    </xf>
    <xf numFmtId="191" fontId="162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3" fillId="38" borderId="104" xfId="0" applyNumberFormat="1" applyFont="1" applyFill="1" applyBorder="1" applyAlignment="1" applyProtection="1">
      <alignment horizontal="center"/>
      <protection/>
    </xf>
    <xf numFmtId="182" fontId="163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1" fillId="33" borderId="56" xfId="0" applyNumberFormat="1" applyFont="1" applyFill="1" applyBorder="1" applyAlignment="1" applyProtection="1">
      <alignment/>
      <protection/>
    </xf>
    <xf numFmtId="0" fontId="51" fillId="33" borderId="56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0" fillId="43" borderId="108" xfId="0" applyNumberFormat="1" applyFont="1" applyFill="1" applyBorder="1" applyAlignment="1" applyProtection="1">
      <alignment/>
      <protection/>
    </xf>
    <xf numFmtId="184" fontId="30" fillId="43" borderId="92" xfId="0" applyNumberFormat="1" applyFont="1" applyFill="1" applyBorder="1" applyAlignment="1" applyProtection="1">
      <alignment/>
      <protection/>
    </xf>
    <xf numFmtId="184" fontId="30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0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65" fillId="48" borderId="0" xfId="61" applyFont="1" applyFill="1" applyBorder="1" applyAlignment="1" applyProtection="1">
      <alignment horizontal="center"/>
      <protection/>
    </xf>
    <xf numFmtId="174" fontId="164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6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6" fillId="35" borderId="0" xfId="64" applyFont="1" applyFill="1" applyBorder="1" applyAlignment="1" applyProtection="1">
      <alignment/>
      <protection/>
    </xf>
    <xf numFmtId="0" fontId="165" fillId="33" borderId="0" xfId="61" applyFont="1" applyFill="1" applyBorder="1" applyAlignment="1" applyProtection="1">
      <alignment horizontal="center"/>
      <protection/>
    </xf>
    <xf numFmtId="172" fontId="55" fillId="50" borderId="27" xfId="64" applyNumberFormat="1" applyFont="1" applyFill="1" applyBorder="1" applyAlignment="1" applyProtection="1">
      <alignment horizontal="center" vertical="center"/>
      <protection locked="0"/>
    </xf>
    <xf numFmtId="174" fontId="150" fillId="32" borderId="0" xfId="65" applyNumberFormat="1" applyFont="1" applyFill="1" applyAlignment="1" applyProtection="1">
      <alignment/>
      <protection/>
    </xf>
    <xf numFmtId="0" fontId="152" fillId="35" borderId="0" xfId="64" applyFont="1" applyFill="1" applyBorder="1" applyProtection="1">
      <alignment/>
      <protection/>
    </xf>
    <xf numFmtId="0" fontId="167" fillId="35" borderId="0" xfId="64" applyFont="1" applyFill="1" applyBorder="1" applyProtection="1">
      <alignment/>
      <protection/>
    </xf>
    <xf numFmtId="0" fontId="167" fillId="35" borderId="0" xfId="64" applyFont="1" applyFill="1" applyProtection="1">
      <alignment/>
      <protection/>
    </xf>
    <xf numFmtId="180" fontId="168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69" fillId="33" borderId="27" xfId="64" applyNumberFormat="1" applyFont="1" applyFill="1" applyBorder="1" applyAlignment="1" applyProtection="1">
      <alignment horizontal="center" vertical="center"/>
      <protection/>
    </xf>
    <xf numFmtId="172" fontId="170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1" fillId="33" borderId="71" xfId="0" applyNumberFormat="1" applyFont="1" applyFill="1" applyBorder="1" applyAlignment="1" applyProtection="1" quotePrefix="1">
      <alignment/>
      <protection/>
    </xf>
    <xf numFmtId="174" fontId="172" fillId="33" borderId="71" xfId="0" applyNumberFormat="1" applyFont="1" applyFill="1" applyBorder="1" applyAlignment="1" applyProtection="1" quotePrefix="1">
      <alignment/>
      <protection/>
    </xf>
    <xf numFmtId="174" fontId="171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1" fillId="33" borderId="116" xfId="0" applyNumberFormat="1" applyFont="1" applyFill="1" applyBorder="1" applyAlignment="1" applyProtection="1" quotePrefix="1">
      <alignment/>
      <protection/>
    </xf>
    <xf numFmtId="174" fontId="171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1" fillId="32" borderId="116" xfId="0" applyNumberFormat="1" applyFont="1" applyFill="1" applyBorder="1" applyAlignment="1" applyProtection="1" quotePrefix="1">
      <alignment/>
      <protection/>
    </xf>
    <xf numFmtId="174" fontId="172" fillId="32" borderId="32" xfId="0" applyNumberFormat="1" applyFont="1" applyFill="1" applyBorder="1" applyAlignment="1" applyProtection="1" quotePrefix="1">
      <alignment/>
      <protection/>
    </xf>
    <xf numFmtId="174" fontId="171" fillId="33" borderId="86" xfId="0" applyNumberFormat="1" applyFont="1" applyFill="1" applyBorder="1" applyAlignment="1" applyProtection="1" quotePrefix="1">
      <alignment/>
      <protection/>
    </xf>
    <xf numFmtId="174" fontId="172" fillId="33" borderId="87" xfId="0" applyNumberFormat="1" applyFont="1" applyFill="1" applyBorder="1" applyAlignment="1" applyProtection="1" quotePrefix="1">
      <alignment/>
      <protection/>
    </xf>
    <xf numFmtId="174" fontId="172" fillId="33" borderId="32" xfId="0" applyNumberFormat="1" applyFont="1" applyFill="1" applyBorder="1" applyAlignment="1" applyProtection="1" quotePrefix="1">
      <alignment/>
      <protection/>
    </xf>
    <xf numFmtId="0" fontId="31" fillId="33" borderId="117" xfId="64" applyFont="1" applyFill="1" applyBorder="1" applyProtection="1">
      <alignment/>
      <protection/>
    </xf>
    <xf numFmtId="0" fontId="31" fillId="33" borderId="43" xfId="64" applyFont="1" applyFill="1" applyBorder="1" applyProtection="1">
      <alignment/>
      <protection/>
    </xf>
    <xf numFmtId="0" fontId="31" fillId="33" borderId="29" xfId="64" applyFont="1" applyFill="1" applyBorder="1" applyProtection="1">
      <alignment/>
      <protection/>
    </xf>
    <xf numFmtId="182" fontId="35" fillId="51" borderId="118" xfId="0" applyNumberFormat="1" applyFont="1" applyFill="1" applyBorder="1" applyAlignment="1" applyProtection="1">
      <alignment horizontal="center"/>
      <protection/>
    </xf>
    <xf numFmtId="182" fontId="36" fillId="42" borderId="118" xfId="0" applyNumberFormat="1" applyFont="1" applyFill="1" applyBorder="1" applyAlignment="1" applyProtection="1">
      <alignment horizontal="center"/>
      <protection/>
    </xf>
    <xf numFmtId="182" fontId="173" fillId="51" borderId="118" xfId="0" applyNumberFormat="1" applyFont="1" applyFill="1" applyBorder="1" applyAlignment="1" applyProtection="1">
      <alignment horizontal="center"/>
      <protection/>
    </xf>
    <xf numFmtId="182" fontId="174" fillId="42" borderId="118" xfId="0" applyNumberFormat="1" applyFont="1" applyFill="1" applyBorder="1" applyAlignment="1" applyProtection="1">
      <alignment horizontal="center"/>
      <protection/>
    </xf>
    <xf numFmtId="182" fontId="35" fillId="52" borderId="118" xfId="0" applyNumberFormat="1" applyFont="1" applyFill="1" applyBorder="1" applyAlignment="1" applyProtection="1">
      <alignment horizontal="center"/>
      <protection/>
    </xf>
    <xf numFmtId="182" fontId="36" fillId="52" borderId="118" xfId="0" applyNumberFormat="1" applyFont="1" applyFill="1" applyBorder="1" applyAlignment="1" applyProtection="1">
      <alignment horizontal="center"/>
      <protection/>
    </xf>
    <xf numFmtId="182" fontId="175" fillId="52" borderId="118" xfId="0" applyNumberFormat="1" applyFont="1" applyFill="1" applyBorder="1" applyAlignment="1" applyProtection="1">
      <alignment horizontal="center"/>
      <protection/>
    </xf>
    <xf numFmtId="182" fontId="174" fillId="52" borderId="118" xfId="0" applyNumberFormat="1" applyFont="1" applyFill="1" applyBorder="1" applyAlignment="1" applyProtection="1">
      <alignment horizontal="center"/>
      <protection/>
    </xf>
    <xf numFmtId="182" fontId="35" fillId="40" borderId="118" xfId="0" applyNumberFormat="1" applyFont="1" applyFill="1" applyBorder="1" applyAlignment="1" applyProtection="1">
      <alignment horizontal="center"/>
      <protection/>
    </xf>
    <xf numFmtId="182" fontId="36" fillId="40" borderId="118" xfId="0" applyNumberFormat="1" applyFont="1" applyFill="1" applyBorder="1" applyAlignment="1" applyProtection="1">
      <alignment horizontal="center"/>
      <protection/>
    </xf>
    <xf numFmtId="182" fontId="176" fillId="40" borderId="118" xfId="0" applyNumberFormat="1" applyFont="1" applyFill="1" applyBorder="1" applyAlignment="1" applyProtection="1">
      <alignment horizontal="center"/>
      <protection/>
    </xf>
    <xf numFmtId="182" fontId="177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3" fillId="38" borderId="119" xfId="0" applyNumberFormat="1" applyFont="1" applyFill="1" applyBorder="1" applyAlignment="1" applyProtection="1">
      <alignment horizontal="center"/>
      <protection/>
    </xf>
    <xf numFmtId="182" fontId="163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0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0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78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0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0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0" fillId="43" borderId="10" xfId="0" applyNumberFormat="1" applyFont="1" applyFill="1" applyBorder="1" applyAlignment="1" applyProtection="1">
      <alignment/>
      <protection locked="0"/>
    </xf>
    <xf numFmtId="174" fontId="164" fillId="32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65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2" fillId="38" borderId="0" xfId="57" applyFont="1" applyFill="1" applyBorder="1" quotePrefix="1">
      <alignment/>
      <protection/>
    </xf>
    <xf numFmtId="195" fontId="22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7" fontId="22" fillId="32" borderId="69" xfId="58" applyNumberFormat="1" applyFont="1" applyFill="1" applyBorder="1" applyAlignment="1">
      <alignment/>
      <protection/>
    </xf>
    <xf numFmtId="197" fontId="22" fillId="32" borderId="18" xfId="58" applyNumberFormat="1" applyFont="1" applyFill="1" applyBorder="1" applyAlignment="1">
      <alignment/>
      <protection/>
    </xf>
    <xf numFmtId="197" fontId="22" fillId="32" borderId="21" xfId="58" applyNumberFormat="1" applyFont="1" applyFill="1" applyBorder="1" applyAlignment="1">
      <alignment/>
      <protection/>
    </xf>
    <xf numFmtId="197" fontId="22" fillId="45" borderId="69" xfId="58" applyNumberFormat="1" applyFont="1" applyFill="1" applyBorder="1" applyAlignment="1">
      <alignment/>
      <protection/>
    </xf>
    <xf numFmtId="197" fontId="22" fillId="45" borderId="18" xfId="58" applyNumberFormat="1" applyFont="1" applyFill="1" applyBorder="1" applyAlignment="1">
      <alignment/>
      <protection/>
    </xf>
    <xf numFmtId="197" fontId="22" fillId="45" borderId="21" xfId="58" applyNumberFormat="1" applyFont="1" applyFill="1" applyBorder="1" applyAlignment="1">
      <alignment/>
      <protection/>
    </xf>
    <xf numFmtId="201" fontId="22" fillId="33" borderId="0" xfId="57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79" fillId="39" borderId="27" xfId="0" applyNumberFormat="1" applyFont="1" applyFill="1" applyBorder="1" applyAlignment="1" applyProtection="1">
      <alignment horizontal="center"/>
      <protection/>
    </xf>
    <xf numFmtId="180" fontId="180" fillId="39" borderId="27" xfId="0" applyNumberFormat="1" applyFont="1" applyFill="1" applyBorder="1" applyAlignment="1" applyProtection="1">
      <alignment horizontal="center"/>
      <protection/>
    </xf>
    <xf numFmtId="191" fontId="155" fillId="39" borderId="27" xfId="0" applyNumberFormat="1" applyFont="1" applyFill="1" applyBorder="1" applyAlignment="1" applyProtection="1" quotePrefix="1">
      <alignment horizontal="center"/>
      <protection/>
    </xf>
    <xf numFmtId="179" fontId="156" fillId="41" borderId="27" xfId="0" applyNumberFormat="1" applyFont="1" applyFill="1" applyBorder="1" applyAlignment="1" applyProtection="1" quotePrefix="1">
      <alignment horizontal="center"/>
      <protection/>
    </xf>
    <xf numFmtId="191" fontId="161" fillId="41" borderId="27" xfId="0" applyNumberFormat="1" applyFont="1" applyFill="1" applyBorder="1" applyAlignment="1" applyProtection="1" quotePrefix="1">
      <alignment horizontal="center"/>
      <protection/>
    </xf>
    <xf numFmtId="179" fontId="161" fillId="41" borderId="27" xfId="0" applyNumberFormat="1" applyFont="1" applyFill="1" applyBorder="1" applyAlignment="1" applyProtection="1" quotePrefix="1">
      <alignment horizontal="center"/>
      <protection/>
    </xf>
    <xf numFmtId="179" fontId="168" fillId="49" borderId="27" xfId="0" applyNumberFormat="1" applyFont="1" applyFill="1" applyBorder="1" applyAlignment="1" applyProtection="1" quotePrefix="1">
      <alignment horizontal="center"/>
      <protection/>
    </xf>
    <xf numFmtId="191" fontId="162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1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0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2" fillId="33" borderId="0" xfId="58" applyNumberFormat="1" applyFont="1" applyFill="1" applyBorder="1" applyAlignment="1">
      <alignment/>
      <protection/>
    </xf>
    <xf numFmtId="177" fontId="22" fillId="33" borderId="0" xfId="57" applyNumberFormat="1" applyFont="1" applyFill="1" applyBorder="1" applyAlignment="1">
      <alignment/>
      <protection/>
    </xf>
    <xf numFmtId="179" fontId="22" fillId="33" borderId="0" xfId="57" applyNumberFormat="1" applyFont="1" applyFill="1" applyBorder="1" applyAlignment="1">
      <alignment/>
      <protection/>
    </xf>
    <xf numFmtId="195" fontId="18" fillId="54" borderId="19" xfId="58" applyNumberFormat="1" applyFont="1" applyFill="1" applyBorder="1" applyAlignment="1">
      <alignment/>
      <protection/>
    </xf>
    <xf numFmtId="195" fontId="18" fillId="54" borderId="69" xfId="58" applyNumberFormat="1" applyFont="1" applyFill="1" applyBorder="1" applyAlignment="1">
      <alignment/>
      <protection/>
    </xf>
    <xf numFmtId="195" fontId="18" fillId="54" borderId="20" xfId="58" applyNumberFormat="1" applyFont="1" applyFill="1" applyBorder="1" applyAlignment="1">
      <alignment/>
      <protection/>
    </xf>
    <xf numFmtId="195" fontId="18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2" fillId="39" borderId="102" xfId="0" applyNumberFormat="1" applyFont="1" applyFill="1" applyBorder="1" applyAlignment="1" applyProtection="1" quotePrefix="1">
      <alignment horizontal="center"/>
      <protection/>
    </xf>
    <xf numFmtId="211" fontId="156" fillId="41" borderId="102" xfId="0" applyNumberFormat="1" applyFont="1" applyFill="1" applyBorder="1" applyAlignment="1" applyProtection="1" quotePrefix="1">
      <alignment horizontal="center"/>
      <protection/>
    </xf>
    <xf numFmtId="211" fontId="168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3" fillId="32" borderId="45" xfId="0" applyNumberFormat="1" applyFont="1" applyFill="1" applyBorder="1" applyAlignment="1" applyProtection="1">
      <alignment horizontal="center"/>
      <protection locked="0"/>
    </xf>
    <xf numFmtId="211" fontId="182" fillId="39" borderId="27" xfId="0" applyNumberFormat="1" applyFont="1" applyFill="1" applyBorder="1" applyAlignment="1" applyProtection="1">
      <alignment horizontal="center"/>
      <protection/>
    </xf>
    <xf numFmtId="211" fontId="156" fillId="41" borderId="27" xfId="0" applyNumberFormat="1" applyFont="1" applyFill="1" applyBorder="1" applyAlignment="1" applyProtection="1" quotePrefix="1">
      <alignment horizontal="center"/>
      <protection/>
    </xf>
    <xf numFmtId="211" fontId="168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4" fillId="33" borderId="45" xfId="0" applyNumberFormat="1" applyFont="1" applyFill="1" applyBorder="1" applyAlignment="1" applyProtection="1">
      <alignment horizontal="center"/>
      <protection/>
    </xf>
    <xf numFmtId="200" fontId="22" fillId="33" borderId="0" xfId="57" applyNumberFormat="1" applyFont="1" applyFill="1" applyBorder="1" applyAlignment="1">
      <alignment horizontal="center"/>
      <protection/>
    </xf>
    <xf numFmtId="179" fontId="22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6" fontId="22" fillId="32" borderId="0" xfId="57" applyNumberFormat="1" applyFont="1" applyFill="1" applyBorder="1" applyAlignment="1">
      <alignment horizontal="left"/>
      <protection/>
    </xf>
    <xf numFmtId="176" fontId="24" fillId="45" borderId="0" xfId="57" applyNumberFormat="1" applyFont="1" applyFill="1" applyBorder="1" applyAlignment="1">
      <alignment horizontal="center"/>
      <protection/>
    </xf>
    <xf numFmtId="179" fontId="24" fillId="45" borderId="0" xfId="57" applyNumberFormat="1" applyFont="1" applyFill="1" applyBorder="1" applyAlignment="1">
      <alignment horizontal="center"/>
      <protection/>
    </xf>
    <xf numFmtId="176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2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78" fontId="18" fillId="32" borderId="69" xfId="57" applyNumberFormat="1" applyFont="1" applyFill="1" applyBorder="1" applyAlignment="1">
      <alignment horizontal="center"/>
      <protection/>
    </xf>
    <xf numFmtId="178" fontId="18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7" fontId="67" fillId="33" borderId="0" xfId="57" applyNumberFormat="1" applyFont="1" applyFill="1" applyBorder="1" applyAlignment="1">
      <alignment/>
      <protection/>
    </xf>
    <xf numFmtId="178" fontId="67" fillId="38" borderId="0" xfId="57" applyNumberFormat="1" applyFont="1" applyFill="1" applyBorder="1" applyAlignment="1">
      <alignment/>
      <protection/>
    </xf>
    <xf numFmtId="210" fontId="67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67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67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67" fillId="32" borderId="20" xfId="57" applyNumberFormat="1" applyFont="1" applyFill="1" applyBorder="1">
      <alignment/>
      <protection/>
    </xf>
    <xf numFmtId="176" fontId="67" fillId="32" borderId="20" xfId="57" applyNumberFormat="1" applyFont="1" applyFill="1" applyBorder="1" applyAlignment="1">
      <alignment horizontal="left"/>
      <protection/>
    </xf>
    <xf numFmtId="200" fontId="22" fillId="33" borderId="0" xfId="57" applyNumberFormat="1" applyFont="1" applyFill="1" applyBorder="1" applyAlignment="1">
      <alignment horizontal="center"/>
      <protection/>
    </xf>
    <xf numFmtId="202" fontId="56" fillId="32" borderId="19" xfId="58" applyNumberFormat="1" applyFont="1" applyFill="1" applyBorder="1" applyAlignment="1">
      <alignment horizontal="center"/>
      <protection/>
    </xf>
    <xf numFmtId="179" fontId="22" fillId="32" borderId="0" xfId="57" applyNumberFormat="1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center"/>
      <protection/>
    </xf>
    <xf numFmtId="198" fontId="56" fillId="45" borderId="0" xfId="58" applyNumberFormat="1" applyFont="1" applyFill="1" applyBorder="1" applyAlignment="1">
      <alignment horizontal="center"/>
      <protection/>
    </xf>
    <xf numFmtId="203" fontId="56" fillId="32" borderId="0" xfId="58" applyNumberFormat="1" applyFont="1" applyFill="1" applyBorder="1" applyAlignment="1">
      <alignment horizontal="center"/>
      <protection/>
    </xf>
    <xf numFmtId="204" fontId="56" fillId="32" borderId="20" xfId="58" applyNumberFormat="1" applyFont="1" applyFill="1" applyBorder="1" applyAlignment="1">
      <alignment horizontal="center"/>
      <protection/>
    </xf>
    <xf numFmtId="195" fontId="22" fillId="33" borderId="0" xfId="58" applyNumberFormat="1" applyFont="1" applyFill="1" applyBorder="1" applyAlignment="1">
      <alignment horizontal="center"/>
      <protection/>
    </xf>
    <xf numFmtId="195" fontId="22" fillId="45" borderId="0" xfId="58" applyNumberFormat="1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left"/>
      <protection/>
    </xf>
    <xf numFmtId="203" fontId="56" fillId="45" borderId="0" xfId="58" applyNumberFormat="1" applyFont="1" applyFill="1" applyBorder="1" applyAlignment="1">
      <alignment horizontal="center"/>
      <protection/>
    </xf>
    <xf numFmtId="204" fontId="56" fillId="45" borderId="20" xfId="58" applyNumberFormat="1" applyFont="1" applyFill="1" applyBorder="1" applyAlignment="1">
      <alignment horizontal="center"/>
      <protection/>
    </xf>
    <xf numFmtId="202" fontId="56" fillId="45" borderId="19" xfId="58" applyNumberFormat="1" applyFont="1" applyFill="1" applyBorder="1" applyAlignment="1">
      <alignment horizontal="center"/>
      <protection/>
    </xf>
    <xf numFmtId="177" fontId="67" fillId="33" borderId="0" xfId="57" applyNumberFormat="1" applyFont="1" applyFill="1" applyBorder="1" applyAlignment="1">
      <alignment horizontal="left"/>
      <protection/>
    </xf>
    <xf numFmtId="210" fontId="22" fillId="33" borderId="0" xfId="58" applyNumberFormat="1" applyFont="1" applyFill="1" applyBorder="1" applyAlignment="1">
      <alignment horizontal="center"/>
      <protection/>
    </xf>
    <xf numFmtId="179" fontId="22" fillId="45" borderId="0" xfId="57" applyNumberFormat="1" applyFont="1" applyFill="1" applyBorder="1" applyAlignment="1">
      <alignment horizontal="center"/>
      <protection/>
    </xf>
    <xf numFmtId="195" fontId="22" fillId="32" borderId="0" xfId="58" applyNumberFormat="1" applyFont="1" applyFill="1" applyBorder="1" applyAlignment="1">
      <alignment horizontal="center"/>
      <protection/>
    </xf>
    <xf numFmtId="197" fontId="56" fillId="45" borderId="19" xfId="58" applyNumberFormat="1" applyFont="1" applyFill="1" applyBorder="1" applyAlignment="1">
      <alignment horizontal="center"/>
      <protection/>
    </xf>
    <xf numFmtId="199" fontId="56" fillId="32" borderId="20" xfId="58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center"/>
      <protection/>
    </xf>
    <xf numFmtId="177" fontId="22" fillId="45" borderId="0" xfId="57" applyNumberFormat="1" applyFont="1" applyFill="1" applyBorder="1" applyAlignment="1">
      <alignment horizontal="center"/>
      <protection/>
    </xf>
    <xf numFmtId="178" fontId="67" fillId="38" borderId="0" xfId="57" applyNumberFormat="1" applyFont="1" applyFill="1" applyBorder="1" applyAlignment="1">
      <alignment horizontal="left"/>
      <protection/>
    </xf>
    <xf numFmtId="199" fontId="56" fillId="45" borderId="20" xfId="58" applyNumberFormat="1" applyFont="1" applyFill="1" applyBorder="1" applyAlignment="1">
      <alignment horizontal="center"/>
      <protection/>
    </xf>
    <xf numFmtId="197" fontId="56" fillId="32" borderId="19" xfId="58" applyNumberFormat="1" applyFont="1" applyFill="1" applyBorder="1" applyAlignment="1">
      <alignment horizontal="center"/>
      <protection/>
    </xf>
    <xf numFmtId="198" fontId="56" fillId="32" borderId="0" xfId="58" applyNumberFormat="1" applyFont="1" applyFill="1" applyBorder="1" applyAlignment="1">
      <alignment horizontal="center"/>
      <protection/>
    </xf>
    <xf numFmtId="176" fontId="22" fillId="32" borderId="0" xfId="57" applyNumberFormat="1" applyFont="1" applyFill="1" applyBorder="1" applyAlignment="1">
      <alignment horizontal="center"/>
      <protection/>
    </xf>
    <xf numFmtId="178" fontId="67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67" fillId="33" borderId="0" xfId="57" applyNumberFormat="1" applyFont="1" applyFill="1" applyBorder="1" applyAlignment="1">
      <alignment horizontal="center"/>
      <protection/>
    </xf>
    <xf numFmtId="178" fontId="67" fillId="38" borderId="0" xfId="57" applyNumberFormat="1" applyFont="1" applyFill="1" applyBorder="1" applyAlignment="1">
      <alignment horizontal="center"/>
      <protection/>
    </xf>
    <xf numFmtId="0" fontId="185" fillId="55" borderId="0" xfId="63" applyFont="1" applyFill="1" applyBorder="1" applyAlignment="1">
      <alignment horizontal="center"/>
      <protection/>
    </xf>
    <xf numFmtId="208" fontId="186" fillId="55" borderId="0" xfId="63" applyNumberFormat="1" applyFont="1" applyFill="1" applyBorder="1" applyAlignment="1">
      <alignment horizontal="center"/>
      <protection/>
    </xf>
    <xf numFmtId="210" fontId="22" fillId="33" borderId="0" xfId="58" applyNumberFormat="1" applyFont="1" applyFill="1" applyBorder="1" applyAlignment="1">
      <alignment horizontal="left"/>
      <protection/>
    </xf>
    <xf numFmtId="206" fontId="187" fillId="48" borderId="43" xfId="65" applyNumberFormat="1" applyFont="1" applyFill="1" applyBorder="1" applyAlignment="1" applyProtection="1">
      <alignment horizontal="left"/>
      <protection/>
    </xf>
    <xf numFmtId="206" fontId="187" fillId="48" borderId="29" xfId="65" applyNumberFormat="1" applyFont="1" applyFill="1" applyBorder="1" applyAlignment="1" applyProtection="1">
      <alignment horizontal="left"/>
      <protection/>
    </xf>
    <xf numFmtId="0" fontId="186" fillId="55" borderId="0" xfId="57" applyFont="1" applyFill="1" applyAlignment="1" applyProtection="1" quotePrefix="1">
      <alignment horizontal="center"/>
      <protection/>
    </xf>
    <xf numFmtId="209" fontId="186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88" fillId="33" borderId="47" xfId="65" applyNumberFormat="1" applyFont="1" applyFill="1" applyBorder="1" applyAlignment="1" applyProtection="1">
      <alignment horizontal="center"/>
      <protection/>
    </xf>
    <xf numFmtId="38" fontId="188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88" fillId="33" borderId="49" xfId="65" applyNumberFormat="1" applyFont="1" applyFill="1" applyBorder="1" applyAlignment="1" applyProtection="1">
      <alignment horizontal="center"/>
      <protection/>
    </xf>
    <xf numFmtId="38" fontId="188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1" fontId="51" fillId="33" borderId="43" xfId="0" applyNumberFormat="1" applyFont="1" applyFill="1" applyBorder="1" applyAlignment="1" applyProtection="1">
      <alignment horizontal="center"/>
      <protection locked="0"/>
    </xf>
    <xf numFmtId="1" fontId="51" fillId="33" borderId="29" xfId="0" applyNumberFormat="1" applyFont="1" applyFill="1" applyBorder="1" applyAlignment="1" applyProtection="1">
      <alignment horizontal="center"/>
      <protection locked="0"/>
    </xf>
    <xf numFmtId="187" fontId="150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28" xfId="53" applyFill="1" applyBorder="1" applyAlignment="1" applyProtection="1">
      <alignment horizontal="center" vertical="center"/>
      <protection locked="0"/>
    </xf>
    <xf numFmtId="0" fontId="189" fillId="36" borderId="43" xfId="53" applyFont="1" applyFill="1" applyBorder="1" applyAlignment="1" applyProtection="1">
      <alignment horizontal="center" vertical="center"/>
      <protection locked="0"/>
    </xf>
    <xf numFmtId="0" fontId="189" fillId="36" borderId="29" xfId="53" applyFont="1" applyFill="1" applyBorder="1" applyAlignment="1" applyProtection="1">
      <alignment horizontal="center" vertical="center"/>
      <protection locked="0"/>
    </xf>
    <xf numFmtId="38" fontId="142" fillId="33" borderId="28" xfId="53" applyNumberFormat="1" applyFill="1" applyBorder="1" applyAlignment="1" applyProtection="1">
      <alignment horizontal="center" vertical="center"/>
      <protection locked="0"/>
    </xf>
    <xf numFmtId="38" fontId="190" fillId="33" borderId="43" xfId="53" applyNumberFormat="1" applyFont="1" applyFill="1" applyBorder="1" applyAlignment="1" applyProtection="1">
      <alignment horizontal="center" vertical="center"/>
      <protection locked="0"/>
    </xf>
    <xf numFmtId="38" fontId="190" fillId="33" borderId="29" xfId="53" applyNumberFormat="1" applyFont="1" applyFill="1" applyBorder="1" applyAlignment="1" applyProtection="1">
      <alignment horizontal="center" vertical="center"/>
      <protection locked="0"/>
    </xf>
    <xf numFmtId="0" fontId="191" fillId="32" borderId="0" xfId="60" applyFont="1" applyFill="1" applyBorder="1" applyAlignment="1" applyProtection="1">
      <alignment horizontal="center"/>
      <protection/>
    </xf>
    <xf numFmtId="185" fontId="156" fillId="33" borderId="28" xfId="60" applyNumberFormat="1" applyFont="1" applyFill="1" applyBorder="1" applyAlignment="1" applyProtection="1">
      <alignment horizontal="center"/>
      <protection/>
    </xf>
    <xf numFmtId="185" fontId="156" fillId="33" borderId="43" xfId="60" applyNumberFormat="1" applyFont="1" applyFill="1" applyBorder="1" applyAlignment="1" applyProtection="1">
      <alignment horizontal="center"/>
      <protection/>
    </xf>
    <xf numFmtId="185" fontId="156" fillId="33" borderId="29" xfId="60" applyNumberFormat="1" applyFont="1" applyFill="1" applyBorder="1" applyAlignment="1" applyProtection="1">
      <alignment horizontal="center"/>
      <protection/>
    </xf>
    <xf numFmtId="0" fontId="53" fillId="50" borderId="133" xfId="64" applyFont="1" applyFill="1" applyBorder="1" applyAlignment="1" applyProtection="1" quotePrefix="1">
      <alignment horizontal="center" wrapText="1"/>
      <protection locked="0"/>
    </xf>
    <xf numFmtId="0" fontId="53" fillId="50" borderId="53" xfId="64" applyFont="1" applyFill="1" applyBorder="1" applyAlignment="1" applyProtection="1">
      <alignment horizontal="center" wrapText="1"/>
      <protection locked="0"/>
    </xf>
    <xf numFmtId="0" fontId="53" fillId="50" borderId="134" xfId="64" applyFont="1" applyFill="1" applyBorder="1" applyAlignment="1" applyProtection="1">
      <alignment horizontal="center" wrapText="1"/>
      <protection locked="0"/>
    </xf>
    <xf numFmtId="0" fontId="192" fillId="32" borderId="45" xfId="57" applyFont="1" applyFill="1" applyBorder="1" applyAlignment="1" applyProtection="1" quotePrefix="1">
      <alignment horizontal="center"/>
      <protection/>
    </xf>
    <xf numFmtId="0" fontId="193" fillId="38" borderId="26" xfId="64" applyFont="1" applyFill="1" applyBorder="1" applyAlignment="1" applyProtection="1">
      <alignment horizontal="center" vertical="center" wrapText="1"/>
      <protection locked="0"/>
    </xf>
    <xf numFmtId="0" fontId="193" fillId="38" borderId="20" xfId="64" applyFont="1" applyFill="1" applyBorder="1" applyAlignment="1" applyProtection="1">
      <alignment horizontal="center" vertical="center" wrapText="1"/>
      <protection locked="0"/>
    </xf>
    <xf numFmtId="0" fontId="193" fillId="38" borderId="21" xfId="64" applyFont="1" applyFill="1" applyBorder="1" applyAlignment="1" applyProtection="1">
      <alignment horizontal="center" vertical="center" wrapText="1"/>
      <protection locked="0"/>
    </xf>
    <xf numFmtId="0" fontId="194" fillId="33" borderId="61" xfId="61" applyFont="1" applyFill="1" applyBorder="1" applyAlignment="1" applyProtection="1">
      <alignment horizontal="center"/>
      <protection/>
    </xf>
    <xf numFmtId="0" fontId="194" fillId="33" borderId="0" xfId="61" applyFont="1" applyFill="1" applyBorder="1" applyAlignment="1" applyProtection="1">
      <alignment horizontal="center"/>
      <protection/>
    </xf>
    <xf numFmtId="0" fontId="194" fillId="33" borderId="30" xfId="61" applyFont="1" applyFill="1" applyBorder="1" applyAlignment="1" applyProtection="1">
      <alignment horizontal="center"/>
      <protection/>
    </xf>
    <xf numFmtId="0" fontId="165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5" fontId="195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38" fontId="22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2" fillId="43" borderId="51" xfId="65" applyNumberFormat="1" applyFont="1" applyFill="1" applyBorder="1" applyAlignment="1" applyProtection="1">
      <alignment horizontal="center"/>
      <protection/>
    </xf>
    <xf numFmtId="38" fontId="22" fillId="43" borderId="53" xfId="65" applyNumberFormat="1" applyFont="1" applyFill="1" applyBorder="1" applyAlignment="1" applyProtection="1">
      <alignment horizontal="center"/>
      <protection/>
    </xf>
    <xf numFmtId="38" fontId="22" fillId="43" borderId="54" xfId="65" applyNumberFormat="1" applyFont="1" applyFill="1" applyBorder="1" applyAlignment="1" applyProtection="1">
      <alignment horizontal="center"/>
      <protection/>
    </xf>
    <xf numFmtId="38" fontId="22" fillId="43" borderId="59" xfId="65" applyNumberFormat="1" applyFont="1" applyFill="1" applyBorder="1" applyAlignment="1" applyProtection="1">
      <alignment horizontal="center"/>
      <protection/>
    </xf>
    <xf numFmtId="38" fontId="22" fillId="43" borderId="47" xfId="65" applyNumberFormat="1" applyFont="1" applyFill="1" applyBorder="1" applyAlignment="1" applyProtection="1">
      <alignment horizontal="center"/>
      <protection/>
    </xf>
    <xf numFmtId="38" fontId="22" fillId="43" borderId="48" xfId="65" applyNumberFormat="1" applyFont="1" applyFill="1" applyBorder="1" applyAlignment="1" applyProtection="1">
      <alignment horizontal="center"/>
      <protection/>
    </xf>
    <xf numFmtId="38" fontId="22" fillId="43" borderId="60" xfId="65" applyNumberFormat="1" applyFont="1" applyFill="1" applyBorder="1" applyAlignment="1" applyProtection="1">
      <alignment horizontal="center"/>
      <protection/>
    </xf>
    <xf numFmtId="38" fontId="22" fillId="43" borderId="49" xfId="65" applyNumberFormat="1" applyFont="1" applyFill="1" applyBorder="1" applyAlignment="1" applyProtection="1">
      <alignment horizontal="center"/>
      <protection/>
    </xf>
    <xf numFmtId="38" fontId="22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59" fillId="46" borderId="65" xfId="65" applyNumberFormat="1" applyFont="1" applyFill="1" applyBorder="1" applyAlignment="1" applyProtection="1">
      <alignment horizontal="center"/>
      <protection/>
    </xf>
    <xf numFmtId="38" fontId="159" fillId="46" borderId="20" xfId="65" applyNumberFormat="1" applyFont="1" applyFill="1" applyBorder="1" applyAlignment="1" applyProtection="1">
      <alignment horizontal="center"/>
      <protection/>
    </xf>
    <xf numFmtId="38" fontId="159" fillId="46" borderId="58" xfId="65" applyNumberFormat="1" applyFont="1" applyFill="1" applyBorder="1" applyAlignment="1" applyProtection="1">
      <alignment horizontal="center"/>
      <protection/>
    </xf>
    <xf numFmtId="38" fontId="45" fillId="33" borderId="62" xfId="65" applyNumberFormat="1" applyFont="1" applyFill="1" applyBorder="1" applyAlignment="1" applyProtection="1">
      <alignment horizontal="center"/>
      <protection/>
    </xf>
    <xf numFmtId="38" fontId="45" fillId="33" borderId="45" xfId="65" applyNumberFormat="1" applyFont="1" applyFill="1" applyBorder="1" applyAlignment="1" applyProtection="1">
      <alignment horizontal="center"/>
      <protection/>
    </xf>
    <xf numFmtId="38" fontId="45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78" fillId="43" borderId="42" xfId="65" applyNumberFormat="1" applyFont="1" applyFill="1" applyBorder="1" applyAlignment="1" applyProtection="1">
      <alignment horizontal="center"/>
      <protection/>
    </xf>
    <xf numFmtId="38" fontId="178" fillId="43" borderId="43" xfId="65" applyNumberFormat="1" applyFont="1" applyFill="1" applyBorder="1" applyAlignment="1" applyProtection="1">
      <alignment horizontal="center"/>
      <protection/>
    </xf>
    <xf numFmtId="38" fontId="178" fillId="43" borderId="44" xfId="65" applyNumberFormat="1" applyFont="1" applyFill="1" applyBorder="1" applyAlignment="1" applyProtection="1">
      <alignment horizontal="center"/>
      <protection/>
    </xf>
    <xf numFmtId="186" fontId="196" fillId="45" borderId="28" xfId="57" applyNumberFormat="1" applyFont="1" applyFill="1" applyBorder="1" applyAlignment="1" applyProtection="1">
      <alignment horizontal="center" vertical="center"/>
      <protection locked="0"/>
    </xf>
    <xf numFmtId="186" fontId="196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7" fontId="197" fillId="32" borderId="0" xfId="0" applyNumberFormat="1" applyFont="1" applyFill="1" applyAlignment="1" applyProtection="1">
      <alignment horizontal="center"/>
      <protection/>
    </xf>
    <xf numFmtId="207" fontId="197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196" fillId="45" borderId="28" xfId="57" applyNumberFormat="1" applyFont="1" applyFill="1" applyBorder="1" applyAlignment="1" applyProtection="1">
      <alignment horizontal="center" vertical="center"/>
      <protection/>
    </xf>
    <xf numFmtId="186" fontId="196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6" fillId="33" borderId="26" xfId="64" applyFont="1" applyFill="1" applyBorder="1" applyAlignment="1" applyProtection="1">
      <alignment horizontal="center" vertical="center" wrapText="1"/>
      <protection/>
    </xf>
    <xf numFmtId="0" fontId="56" fillId="33" borderId="20" xfId="64" applyFont="1" applyFill="1" applyBorder="1" applyAlignment="1" applyProtection="1">
      <alignment horizontal="center" vertical="center" wrapText="1"/>
      <protection/>
    </xf>
    <xf numFmtId="0" fontId="56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198" fillId="36" borderId="28" xfId="53" applyFont="1" applyFill="1" applyBorder="1" applyAlignment="1" applyProtection="1">
      <alignment horizontal="center" vertical="center"/>
      <protection/>
    </xf>
    <xf numFmtId="0" fontId="198" fillId="36" borderId="43" xfId="53" applyFont="1" applyFill="1" applyBorder="1" applyAlignment="1" applyProtection="1">
      <alignment horizontal="center" vertical="center"/>
      <protection/>
    </xf>
    <xf numFmtId="0" fontId="198" fillId="36" borderId="29" xfId="53" applyFont="1" applyFill="1" applyBorder="1" applyAlignment="1" applyProtection="1">
      <alignment horizontal="center" vertical="center"/>
      <protection/>
    </xf>
    <xf numFmtId="0" fontId="26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5" fillId="33" borderId="0" xfId="60" applyNumberFormat="1" applyFont="1" applyFill="1" applyBorder="1" applyAlignment="1" applyProtection="1">
      <alignment horizontal="center"/>
      <protection/>
    </xf>
    <xf numFmtId="0" fontId="192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194" fillId="33" borderId="116" xfId="61" applyFont="1" applyFill="1" applyBorder="1" applyAlignment="1" applyProtection="1">
      <alignment horizontal="center"/>
      <protection/>
    </xf>
    <xf numFmtId="0" fontId="194" fillId="33" borderId="135" xfId="61" applyFont="1" applyFill="1" applyBorder="1" applyAlignment="1" applyProtection="1">
      <alignment horizontal="center"/>
      <protection/>
    </xf>
    <xf numFmtId="208" fontId="199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61">
        <f>+'Cash-Flow-2023-Leva'!P5</f>
        <v>2023</v>
      </c>
      <c r="M2" s="661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68">
        <f>+'Cash-Flow-2023-Leva'!P5</f>
        <v>2023</v>
      </c>
      <c r="I7" s="66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70">
        <f>+'Cash-Flow-2023-Leva'!P5</f>
        <v>2023</v>
      </c>
      <c r="G30" s="670"/>
      <c r="H30" s="670"/>
      <c r="I30" s="67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4">
        <f>+H7</f>
        <v>2023</v>
      </c>
      <c r="H37" s="644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3">
        <f>+F30-1</f>
        <v>2022</v>
      </c>
      <c r="M40" s="663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62">
        <f>+H7-1</f>
        <v>2022</v>
      </c>
      <c r="H42" s="662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49"/>
      <c r="L55" s="649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58">
        <f>+H7</f>
        <v>2023</v>
      </c>
      <c r="L56" s="658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4">
        <f>+H7</f>
        <v>2023</v>
      </c>
      <c r="J57" s="644"/>
      <c r="K57" s="611" t="s">
        <v>388</v>
      </c>
      <c r="L57" s="642">
        <f>+H7</f>
        <v>2023</v>
      </c>
      <c r="M57" s="642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6">
        <f>+H7</f>
        <v>2023</v>
      </c>
      <c r="F59" s="666"/>
      <c r="G59" s="666"/>
      <c r="H59" s="666"/>
      <c r="I59" s="666"/>
      <c r="J59" s="666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7">
        <f>+H7</f>
        <v>2023</v>
      </c>
      <c r="F60" s="667"/>
      <c r="G60" s="667"/>
      <c r="H60" s="667"/>
      <c r="I60" s="667"/>
      <c r="J60" s="667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0">
        <f>+H7</f>
        <v>2023</v>
      </c>
      <c r="F61" s="660"/>
      <c r="G61" s="660"/>
      <c r="H61" s="660"/>
      <c r="I61" s="660"/>
      <c r="J61" s="660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5">
        <f>+H7</f>
        <v>2023</v>
      </c>
      <c r="J75" s="645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49"/>
      <c r="L80" s="649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58">
        <f>+H7</f>
        <v>2023</v>
      </c>
      <c r="L81" s="658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4">
        <f>+H7</f>
        <v>2023</v>
      </c>
      <c r="J82" s="644"/>
      <c r="K82" s="611" t="s">
        <v>405</v>
      </c>
      <c r="L82" s="642">
        <f>+H7</f>
        <v>2023</v>
      </c>
      <c r="M82" s="642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43">
        <f>+H7</f>
        <v>2023</v>
      </c>
      <c r="F84" s="643"/>
      <c r="G84" s="643"/>
      <c r="H84" s="643"/>
      <c r="I84" s="643"/>
      <c r="J84" s="64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47">
        <f>+H7</f>
        <v>2023</v>
      </c>
      <c r="F85" s="647"/>
      <c r="G85" s="647"/>
      <c r="H85" s="647"/>
      <c r="I85" s="647"/>
      <c r="J85" s="647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48">
        <f>+H7</f>
        <v>2023</v>
      </c>
      <c r="F86" s="648"/>
      <c r="G86" s="648"/>
      <c r="H86" s="648"/>
      <c r="I86" s="648"/>
      <c r="J86" s="648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49"/>
      <c r="L96" s="649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50">
        <f>+H7-1</f>
        <v>2022</v>
      </c>
      <c r="L97" s="650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57">
        <f>+H7-1</f>
        <v>2022</v>
      </c>
      <c r="J98" s="657"/>
      <c r="K98" s="611" t="s">
        <v>388</v>
      </c>
      <c r="L98" s="642">
        <f>+H7</f>
        <v>2023</v>
      </c>
      <c r="M98" s="642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59">
        <f>+H7-1</f>
        <v>2022</v>
      </c>
      <c r="F100" s="659"/>
      <c r="G100" s="659"/>
      <c r="H100" s="659"/>
      <c r="I100" s="659"/>
      <c r="J100" s="659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46">
        <f>+H7-1</f>
        <v>2022</v>
      </c>
      <c r="F101" s="646"/>
      <c r="G101" s="646"/>
      <c r="H101" s="646"/>
      <c r="I101" s="646"/>
      <c r="J101" s="646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5">
        <f>+H7-1</f>
        <v>2022</v>
      </c>
      <c r="F102" s="665"/>
      <c r="G102" s="665"/>
      <c r="H102" s="665"/>
      <c r="I102" s="665"/>
      <c r="J102" s="665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5">
        <f>+H7</f>
        <v>2023</v>
      </c>
      <c r="J116" s="645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49"/>
      <c r="L121" s="649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50">
        <f>+H7-1</f>
        <v>2022</v>
      </c>
      <c r="L122" s="650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57">
        <f>+H7-1</f>
        <v>2022</v>
      </c>
      <c r="J123" s="657"/>
      <c r="K123" s="611" t="s">
        <v>405</v>
      </c>
      <c r="L123" s="642">
        <f>+H7</f>
        <v>2023</v>
      </c>
      <c r="M123" s="642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54">
        <f>+H7-1</f>
        <v>2022</v>
      </c>
      <c r="F125" s="654"/>
      <c r="G125" s="654"/>
      <c r="H125" s="654"/>
      <c r="I125" s="654"/>
      <c r="J125" s="654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52">
        <f>+H7-1</f>
        <v>2022</v>
      </c>
      <c r="F126" s="652"/>
      <c r="G126" s="652"/>
      <c r="H126" s="652"/>
      <c r="I126" s="652"/>
      <c r="J126" s="652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53">
        <f>+H7-1</f>
        <v>2022</v>
      </c>
      <c r="F127" s="653"/>
      <c r="G127" s="653"/>
      <c r="H127" s="653"/>
      <c r="I127" s="653"/>
      <c r="J127" s="653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56">
        <f>+H7</f>
        <v>2023</v>
      </c>
      <c r="K136" s="656"/>
      <c r="L136" s="656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4">
        <f>+H7</f>
        <v>2023</v>
      </c>
      <c r="I137" s="644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5">
        <f>+H7</f>
        <v>2023</v>
      </c>
      <c r="J138" s="645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76">
        <f>+H7</f>
        <v>2023</v>
      </c>
      <c r="K144" s="676"/>
      <c r="L144" s="676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4">
        <f>+H14</f>
        <v>2023</v>
      </c>
      <c r="J145" s="644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51">
        <f>+H7</f>
        <v>2023</v>
      </c>
      <c r="L160" s="651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74" t="s">
        <v>331</v>
      </c>
      <c r="G164" s="674"/>
      <c r="H164" s="674"/>
      <c r="I164" s="674"/>
      <c r="J164" s="674"/>
      <c r="K164" s="674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74" t="s">
        <v>332</v>
      </c>
      <c r="G165" s="674"/>
      <c r="H165" s="674"/>
      <c r="I165" s="674"/>
      <c r="J165" s="674"/>
      <c r="K165" s="674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71">
        <f>+'Cash-Flow-2023-Leva'!P5</f>
        <v>2023</v>
      </c>
      <c r="G167" s="671"/>
      <c r="H167" s="671"/>
      <c r="I167" s="67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3">
        <f>+'Cash-Flow-2023-Leva'!P5</f>
        <v>2023</v>
      </c>
      <c r="H168" s="673"/>
      <c r="I168" s="673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72">
        <f>+'Cash-Flow-2023-Leva'!P5</f>
        <v>2023</v>
      </c>
      <c r="G169" s="672"/>
      <c r="H169" s="672"/>
      <c r="I169" s="672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72">
        <f>+'Cash-Flow-2023-Leva'!P5</f>
        <v>2023</v>
      </c>
      <c r="F185" s="672"/>
      <c r="G185" s="672"/>
      <c r="H185" s="672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55">
        <f>+'Cash-Flow-2023-Leva'!P5</f>
        <v>2023</v>
      </c>
      <c r="L186" s="655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4">
        <f>H7</f>
        <v>2023</v>
      </c>
      <c r="E189" s="664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74" t="s">
        <v>331</v>
      </c>
      <c r="G191" s="674"/>
      <c r="H191" s="674"/>
      <c r="I191" s="674"/>
      <c r="J191" s="674"/>
      <c r="K191" s="674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75">
        <f>+L2</f>
        <v>2023</v>
      </c>
      <c r="G192" s="675"/>
      <c r="H192" s="675"/>
      <c r="I192" s="675"/>
      <c r="J192" s="675"/>
      <c r="K192" s="675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69">
        <f>+'Cash-Flow-2023-Leva'!P5</f>
        <v>2023</v>
      </c>
      <c r="I194" s="669"/>
      <c r="J194" s="66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9" sqref="M14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11" t="s">
        <v>455</v>
      </c>
      <c r="C1" s="712"/>
      <c r="D1" s="712"/>
      <c r="E1" s="712"/>
      <c r="F1" s="713"/>
      <c r="G1" s="433" t="s">
        <v>244</v>
      </c>
      <c r="H1" s="426"/>
      <c r="I1" s="699">
        <v>121082521</v>
      </c>
      <c r="J1" s="700"/>
      <c r="K1" s="427"/>
      <c r="L1" s="435" t="s">
        <v>245</v>
      </c>
      <c r="M1" s="431"/>
      <c r="N1" s="427"/>
      <c r="O1" s="435" t="s">
        <v>239</v>
      </c>
      <c r="P1" s="452"/>
      <c r="Q1" s="428"/>
      <c r="R1" s="344" t="s">
        <v>277</v>
      </c>
      <c r="S1" s="784"/>
      <c r="T1" s="785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31" t="s">
        <v>240</v>
      </c>
      <c r="C2" s="732"/>
      <c r="D2" s="732"/>
      <c r="E2" s="732"/>
      <c r="F2" s="733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15" t="s">
        <v>250</v>
      </c>
      <c r="C3" s="716"/>
      <c r="D3" s="716"/>
      <c r="E3" s="716"/>
      <c r="F3" s="717"/>
      <c r="G3" s="434" t="s">
        <v>238</v>
      </c>
      <c r="H3" s="704"/>
      <c r="I3" s="705"/>
      <c r="J3" s="705"/>
      <c r="K3" s="706"/>
      <c r="L3" s="28" t="s">
        <v>246</v>
      </c>
      <c r="M3" s="701"/>
      <c r="N3" s="702"/>
      <c r="O3" s="702"/>
      <c r="P3" s="703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679">
        <f>+IF(+O174&gt;0,"НЕРАВНЕНИЕ: Касов отчет - Баланс!",0)</f>
        <v>0</v>
      </c>
      <c r="C5" s="679"/>
      <c r="D5" s="735" t="s">
        <v>243</v>
      </c>
      <c r="E5" s="735"/>
      <c r="F5" s="735"/>
      <c r="G5" s="735"/>
      <c r="H5" s="735"/>
      <c r="I5" s="735"/>
      <c r="J5" s="735"/>
      <c r="K5" s="735"/>
      <c r="L5" s="735"/>
      <c r="M5" s="20"/>
      <c r="N5" s="20"/>
      <c r="O5" s="24" t="s">
        <v>17</v>
      </c>
      <c r="P5" s="450">
        <v>2023</v>
      </c>
      <c r="Q5" s="20"/>
      <c r="R5" s="707" t="s">
        <v>180</v>
      </c>
      <c r="S5" s="707"/>
      <c r="T5" s="707"/>
      <c r="U5" s="15"/>
    </row>
    <row r="6" spans="1:28" s="3" customFormat="1" ht="17.25" customHeight="1">
      <c r="A6" s="15"/>
      <c r="B6" s="680">
        <f>+IF(B5=0,0,P5)</f>
        <v>0</v>
      </c>
      <c r="C6" s="680"/>
      <c r="D6" s="735" t="s">
        <v>242</v>
      </c>
      <c r="E6" s="735"/>
      <c r="F6" s="735"/>
      <c r="G6" s="735"/>
      <c r="H6" s="735"/>
      <c r="I6" s="735"/>
      <c r="J6" s="735"/>
      <c r="K6" s="735"/>
      <c r="L6" s="735"/>
      <c r="M6" s="21"/>
      <c r="N6" s="16"/>
      <c r="O6" s="15"/>
      <c r="P6" s="15"/>
      <c r="Q6" s="13"/>
      <c r="R6" s="734">
        <f>+P4</f>
        <v>0</v>
      </c>
      <c r="S6" s="734"/>
      <c r="T6" s="734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14" t="str">
        <f>+B1</f>
        <v>НАЦИОНАЛЕН ОСИГУРИТЕЛЕН ИНСТИТУТ</v>
      </c>
      <c r="E8" s="714"/>
      <c r="F8" s="714"/>
      <c r="G8" s="714"/>
      <c r="H8" s="714"/>
      <c r="I8" s="714"/>
      <c r="J8" s="714"/>
      <c r="K8" s="714"/>
      <c r="L8" s="714"/>
      <c r="M8" s="432" t="s">
        <v>247</v>
      </c>
      <c r="N8" s="16"/>
      <c r="O8" s="592" t="s">
        <v>352</v>
      </c>
      <c r="P8" s="290" t="s">
        <v>46</v>
      </c>
      <c r="Q8" s="13"/>
      <c r="R8" s="708">
        <f>+P5</f>
        <v>2023</v>
      </c>
      <c r="S8" s="709"/>
      <c r="T8" s="710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22" t="s">
        <v>0</v>
      </c>
      <c r="S10" s="723"/>
      <c r="T10" s="7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30.09.2023 г.</v>
      </c>
      <c r="G11" s="396">
        <f>+P5-1</f>
        <v>2022</v>
      </c>
      <c r="H11" s="15"/>
      <c r="I11" s="589" t="str">
        <f>+O8</f>
        <v>30.09.2023 г.</v>
      </c>
      <c r="J11" s="397">
        <f>+P5-1</f>
        <v>2022</v>
      </c>
      <c r="K11" s="16"/>
      <c r="L11" s="590" t="str">
        <f>+O8</f>
        <v>30.09.2023 г.</v>
      </c>
      <c r="M11" s="398">
        <f>+P5-1</f>
        <v>2022</v>
      </c>
      <c r="N11" s="16"/>
      <c r="O11" s="591" t="str">
        <f>+O8</f>
        <v>30.09.2023 г.</v>
      </c>
      <c r="P11" s="399">
        <f>+P5-1</f>
        <v>2022</v>
      </c>
      <c r="Q11" s="352"/>
      <c r="R11" s="725" t="s">
        <v>181</v>
      </c>
      <c r="S11" s="726"/>
      <c r="T11" s="7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71953499</v>
      </c>
      <c r="G15" s="229">
        <v>92882483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71953499</v>
      </c>
      <c r="P15" s="378">
        <f t="shared" si="0"/>
        <v>92882483</v>
      </c>
      <c r="Q15" s="31"/>
      <c r="R15" s="728" t="s">
        <v>149</v>
      </c>
      <c r="S15" s="729"/>
      <c r="T15" s="730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36" t="s">
        <v>284</v>
      </c>
      <c r="S16" s="737"/>
      <c r="T16" s="738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42" t="s">
        <v>279</v>
      </c>
      <c r="S17" s="743"/>
      <c r="T17" s="74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/>
      <c r="G18" s="229">
        <v>5</v>
      </c>
      <c r="H18" s="15"/>
      <c r="I18" s="230"/>
      <c r="J18" s="229"/>
      <c r="K18" s="227"/>
      <c r="L18" s="230"/>
      <c r="M18" s="229"/>
      <c r="N18" s="227"/>
      <c r="O18" s="365">
        <f t="shared" si="0"/>
        <v>0</v>
      </c>
      <c r="P18" s="378">
        <f t="shared" si="0"/>
        <v>5</v>
      </c>
      <c r="Q18" s="31"/>
      <c r="R18" s="728" t="s">
        <v>150</v>
      </c>
      <c r="S18" s="729"/>
      <c r="T18" s="730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39" t="s">
        <v>151</v>
      </c>
      <c r="S19" s="740"/>
      <c r="T19" s="741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739" t="s">
        <v>152</v>
      </c>
      <c r="S20" s="740"/>
      <c r="T20" s="741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39" t="s">
        <v>153</v>
      </c>
      <c r="S21" s="740"/>
      <c r="T21" s="741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3710283</v>
      </c>
      <c r="G22" s="231">
        <v>5168988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3710283</v>
      </c>
      <c r="P22" s="412">
        <f t="shared" si="0"/>
        <v>5168988</v>
      </c>
      <c r="Q22" s="31"/>
      <c r="R22" s="739" t="s">
        <v>154</v>
      </c>
      <c r="S22" s="740"/>
      <c r="T22" s="741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39" t="s">
        <v>155</v>
      </c>
      <c r="S23" s="740"/>
      <c r="T23" s="741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/>
      <c r="G24" s="233"/>
      <c r="H24" s="15"/>
      <c r="I24" s="234"/>
      <c r="J24" s="233"/>
      <c r="K24" s="227"/>
      <c r="L24" s="234"/>
      <c r="M24" s="233"/>
      <c r="N24" s="227"/>
      <c r="O24" s="361">
        <f t="shared" si="0"/>
        <v>0</v>
      </c>
      <c r="P24" s="384">
        <f t="shared" si="0"/>
        <v>0</v>
      </c>
      <c r="Q24" s="31"/>
      <c r="R24" s="745" t="s">
        <v>280</v>
      </c>
      <c r="S24" s="746"/>
      <c r="T24" s="747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75663782</v>
      </c>
      <c r="G25" s="235">
        <f>+ROUND(+SUM(G15,G16,G18,G19,G20,G21,G22,G23,G24),0)</f>
        <v>98051476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75663782</v>
      </c>
      <c r="P25" s="363">
        <f>+ROUND(+SUM(P15,P16,P18,P19,P20,P21,P22,P23,P24),0)</f>
        <v>98051476</v>
      </c>
      <c r="Q25" s="31"/>
      <c r="R25" s="748" t="s">
        <v>182</v>
      </c>
      <c r="S25" s="749"/>
      <c r="T25" s="75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8" t="s">
        <v>156</v>
      </c>
      <c r="S27" s="729"/>
      <c r="T27" s="730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39" t="s">
        <v>157</v>
      </c>
      <c r="S28" s="740"/>
      <c r="T28" s="741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5" t="s">
        <v>158</v>
      </c>
      <c r="S29" s="746"/>
      <c r="T29" s="74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48" t="s">
        <v>183</v>
      </c>
      <c r="S30" s="749"/>
      <c r="T30" s="75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/>
      <c r="G37" s="247"/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0</v>
      </c>
      <c r="P37" s="363">
        <f t="shared" si="2"/>
        <v>0</v>
      </c>
      <c r="Q37" s="31"/>
      <c r="R37" s="748" t="s">
        <v>184</v>
      </c>
      <c r="S37" s="749"/>
      <c r="T37" s="75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51" t="s">
        <v>159</v>
      </c>
      <c r="S38" s="752"/>
      <c r="T38" s="75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54" t="s">
        <v>160</v>
      </c>
      <c r="S39" s="755"/>
      <c r="T39" s="75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7" t="s">
        <v>161</v>
      </c>
      <c r="S40" s="758"/>
      <c r="T40" s="75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748" t="s">
        <v>185</v>
      </c>
      <c r="S42" s="749"/>
      <c r="T42" s="75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28" t="s">
        <v>162</v>
      </c>
      <c r="S44" s="729"/>
      <c r="T44" s="730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39" t="s">
        <v>163</v>
      </c>
      <c r="S45" s="740"/>
      <c r="T45" s="74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39" t="s">
        <v>164</v>
      </c>
      <c r="S46" s="740"/>
      <c r="T46" s="741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5" t="s">
        <v>165</v>
      </c>
      <c r="S47" s="746"/>
      <c r="T47" s="74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48" t="s">
        <v>186</v>
      </c>
      <c r="S48" s="749"/>
      <c r="T48" s="7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75663782</v>
      </c>
      <c r="G50" s="257">
        <f>+ROUND(G25+G30+G37+G42+G48,0)</f>
        <v>98051476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75663782</v>
      </c>
      <c r="P50" s="380">
        <f>+ROUND(P25+P30+P37+P42+P48,0)</f>
        <v>98051476</v>
      </c>
      <c r="Q50" s="106"/>
      <c r="R50" s="760" t="s">
        <v>187</v>
      </c>
      <c r="S50" s="761"/>
      <c r="T50" s="76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/>
      <c r="G53" s="259"/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0</v>
      </c>
      <c r="P53" s="359">
        <f t="shared" si="4"/>
        <v>0</v>
      </c>
      <c r="Q53" s="31"/>
      <c r="R53" s="728" t="s">
        <v>188</v>
      </c>
      <c r="S53" s="729"/>
      <c r="T53" s="730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3686</v>
      </c>
      <c r="G54" s="233">
        <v>5031</v>
      </c>
      <c r="H54" s="15"/>
      <c r="I54" s="234"/>
      <c r="J54" s="233"/>
      <c r="K54" s="227"/>
      <c r="L54" s="234"/>
      <c r="M54" s="233"/>
      <c r="N54" s="227"/>
      <c r="O54" s="361">
        <f t="shared" si="4"/>
        <v>3686</v>
      </c>
      <c r="P54" s="384">
        <f t="shared" si="4"/>
        <v>5031</v>
      </c>
      <c r="Q54" s="31"/>
      <c r="R54" s="739" t="s">
        <v>166</v>
      </c>
      <c r="S54" s="740"/>
      <c r="T54" s="74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/>
      <c r="G55" s="233"/>
      <c r="H55" s="15"/>
      <c r="I55" s="234"/>
      <c r="J55" s="233"/>
      <c r="K55" s="227"/>
      <c r="L55" s="234"/>
      <c r="M55" s="233"/>
      <c r="N55" s="227"/>
      <c r="O55" s="361">
        <f t="shared" si="4"/>
        <v>0</v>
      </c>
      <c r="P55" s="384">
        <f t="shared" si="4"/>
        <v>0</v>
      </c>
      <c r="Q55" s="31"/>
      <c r="R55" s="739" t="s">
        <v>167</v>
      </c>
      <c r="S55" s="740"/>
      <c r="T55" s="74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/>
      <c r="G56" s="233"/>
      <c r="H56" s="15"/>
      <c r="I56" s="234"/>
      <c r="J56" s="233"/>
      <c r="K56" s="227"/>
      <c r="L56" s="234"/>
      <c r="M56" s="233"/>
      <c r="N56" s="227"/>
      <c r="O56" s="361">
        <f t="shared" si="4"/>
        <v>0</v>
      </c>
      <c r="P56" s="384">
        <f t="shared" si="4"/>
        <v>0</v>
      </c>
      <c r="Q56" s="31"/>
      <c r="R56" s="739" t="s">
        <v>168</v>
      </c>
      <c r="S56" s="740"/>
      <c r="T56" s="741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/>
      <c r="G57" s="233"/>
      <c r="H57" s="15"/>
      <c r="I57" s="234"/>
      <c r="J57" s="233"/>
      <c r="K57" s="227"/>
      <c r="L57" s="234"/>
      <c r="M57" s="233"/>
      <c r="N57" s="227"/>
      <c r="O57" s="361">
        <f t="shared" si="4"/>
        <v>0</v>
      </c>
      <c r="P57" s="384">
        <f t="shared" si="4"/>
        <v>0</v>
      </c>
      <c r="Q57" s="31"/>
      <c r="R57" s="745" t="s">
        <v>169</v>
      </c>
      <c r="S57" s="746"/>
      <c r="T57" s="74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3686</v>
      </c>
      <c r="G58" s="261">
        <f>+ROUND(+SUM(G53:G57),0)</f>
        <v>5031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3686</v>
      </c>
      <c r="P58" s="382">
        <f>+ROUND(+SUM(P53:P57),0)</f>
        <v>5031</v>
      </c>
      <c r="Q58" s="31"/>
      <c r="R58" s="748" t="s">
        <v>189</v>
      </c>
      <c r="S58" s="749"/>
      <c r="T58" s="75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8" t="s">
        <v>170</v>
      </c>
      <c r="S60" s="729"/>
      <c r="T60" s="730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/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0</v>
      </c>
      <c r="Q61" s="31"/>
      <c r="R61" s="739" t="s">
        <v>171</v>
      </c>
      <c r="S61" s="740"/>
      <c r="T61" s="74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0</v>
      </c>
      <c r="Q62" s="31"/>
      <c r="R62" s="739" t="s">
        <v>172</v>
      </c>
      <c r="S62" s="740"/>
      <c r="T62" s="741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5" t="s">
        <v>190</v>
      </c>
      <c r="S63" s="746"/>
      <c r="T63" s="74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0</v>
      </c>
      <c r="G65" s="261">
        <f>+ROUND(+SUM(G60:G63),0)</f>
        <v>0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0</v>
      </c>
      <c r="P65" s="382">
        <f>+ROUND(+SUM(P60:P63),0)</f>
        <v>0</v>
      </c>
      <c r="Q65" s="31"/>
      <c r="R65" s="748" t="s">
        <v>192</v>
      </c>
      <c r="S65" s="749"/>
      <c r="T65" s="75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8" t="s">
        <v>173</v>
      </c>
      <c r="S67" s="729"/>
      <c r="T67" s="730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39" t="s">
        <v>174</v>
      </c>
      <c r="S68" s="740"/>
      <c r="T68" s="741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48" t="s">
        <v>193</v>
      </c>
      <c r="S69" s="749"/>
      <c r="T69" s="75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63773588</v>
      </c>
      <c r="G71" s="259">
        <v>69681668</v>
      </c>
      <c r="H71" s="15"/>
      <c r="I71" s="260"/>
      <c r="J71" s="259"/>
      <c r="K71" s="227"/>
      <c r="L71" s="260"/>
      <c r="M71" s="259"/>
      <c r="N71" s="227"/>
      <c r="O71" s="366">
        <f>+ROUND(+F71+I71+L71,0)</f>
        <v>63773588</v>
      </c>
      <c r="P71" s="359">
        <f>+ROUND(+G71+J71+M71,0)</f>
        <v>69681668</v>
      </c>
      <c r="Q71" s="31"/>
      <c r="R71" s="728" t="s">
        <v>175</v>
      </c>
      <c r="S71" s="729"/>
      <c r="T71" s="730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39" t="s">
        <v>176</v>
      </c>
      <c r="S72" s="740"/>
      <c r="T72" s="741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63773588</v>
      </c>
      <c r="G73" s="261">
        <f>+ROUND(+SUM(G71:G72),0)</f>
        <v>69681668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63773588</v>
      </c>
      <c r="P73" s="382">
        <f>+ROUND(+SUM(P71:P72),0)</f>
        <v>69681668</v>
      </c>
      <c r="Q73" s="31"/>
      <c r="R73" s="748" t="s">
        <v>194</v>
      </c>
      <c r="S73" s="749"/>
      <c r="T73" s="75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28" t="s">
        <v>177</v>
      </c>
      <c r="S75" s="729"/>
      <c r="T75" s="730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39" t="s">
        <v>195</v>
      </c>
      <c r="S76" s="740"/>
      <c r="T76" s="741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48" t="s">
        <v>196</v>
      </c>
      <c r="S77" s="749"/>
      <c r="T77" s="75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63777274</v>
      </c>
      <c r="G79" s="272">
        <f>+ROUND(G58+G65+G69+G73+G77,0)</f>
        <v>69686699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63777274</v>
      </c>
      <c r="P79" s="392">
        <f>+ROUND(P58+P65+P69+P73+P77,0)</f>
        <v>69686699</v>
      </c>
      <c r="Q79" s="31"/>
      <c r="R79" s="763" t="s">
        <v>197</v>
      </c>
      <c r="S79" s="764"/>
      <c r="T79" s="76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/>
      <c r="G81" s="229"/>
      <c r="H81" s="15"/>
      <c r="I81" s="230"/>
      <c r="J81" s="229"/>
      <c r="K81" s="227"/>
      <c r="L81" s="230"/>
      <c r="M81" s="229"/>
      <c r="N81" s="227"/>
      <c r="O81" s="365">
        <f>+ROUND(+F81+I81+L81,0)</f>
        <v>0</v>
      </c>
      <c r="P81" s="378">
        <f>+ROUND(+G81+J81+M81,0)</f>
        <v>0</v>
      </c>
      <c r="Q81" s="31"/>
      <c r="R81" s="728" t="s">
        <v>178</v>
      </c>
      <c r="S81" s="729"/>
      <c r="T81" s="730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39" t="s">
        <v>179</v>
      </c>
      <c r="S82" s="740"/>
      <c r="T82" s="741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0</v>
      </c>
      <c r="G83" s="270">
        <f>+ROUND(G81+G82,0)</f>
        <v>0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0</v>
      </c>
      <c r="P83" s="387">
        <f>+ROUND(P81+P82,0)</f>
        <v>0</v>
      </c>
      <c r="Q83" s="31"/>
      <c r="R83" s="766" t="s">
        <v>198</v>
      </c>
      <c r="S83" s="767"/>
      <c r="T83" s="76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9"/>
      <c r="D84" s="720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11886508</v>
      </c>
      <c r="G85" s="291">
        <f>+ROUND(G50,0)-ROUND(G79,0)+ROUND(G83,0)</f>
        <v>28364777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11886508</v>
      </c>
      <c r="P85" s="389">
        <f>+ROUND(P50,0)-ROUND(P79,0)+ROUND(P83,0)</f>
        <v>28364777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-11886508</v>
      </c>
      <c r="G86" s="293">
        <f>+ROUND(G103,0)+ROUND(G122,0)+ROUND(G129,0)-ROUND(G134,0)</f>
        <v>-28364777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-11886508</v>
      </c>
      <c r="P86" s="391">
        <f>+ROUND(P103,0)+ROUND(P122,0)+ROUND(P129,0)-ROUND(P134,0)</f>
        <v>-28364777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8" t="s">
        <v>199</v>
      </c>
      <c r="S89" s="729"/>
      <c r="T89" s="730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39" t="s">
        <v>200</v>
      </c>
      <c r="S90" s="740"/>
      <c r="T90" s="741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48" t="s">
        <v>201</v>
      </c>
      <c r="S91" s="749"/>
      <c r="T91" s="75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8" t="s">
        <v>202</v>
      </c>
      <c r="S93" s="729"/>
      <c r="T93" s="730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39" t="s">
        <v>203</v>
      </c>
      <c r="S94" s="740"/>
      <c r="T94" s="74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39" t="s">
        <v>204</v>
      </c>
      <c r="S95" s="740"/>
      <c r="T95" s="741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5" t="s">
        <v>205</v>
      </c>
      <c r="S96" s="746"/>
      <c r="T96" s="74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48" t="s">
        <v>206</v>
      </c>
      <c r="S97" s="749"/>
      <c r="T97" s="75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18430172</v>
      </c>
      <c r="G99" s="229">
        <v>25156600</v>
      </c>
      <c r="H99" s="15"/>
      <c r="I99" s="230"/>
      <c r="J99" s="229"/>
      <c r="K99" s="227"/>
      <c r="L99" s="230"/>
      <c r="M99" s="229"/>
      <c r="N99" s="227"/>
      <c r="O99" s="365">
        <f>+ROUND(+F99+I99+L99,0)</f>
        <v>18430172</v>
      </c>
      <c r="P99" s="378">
        <f>+ROUND(+G99+J99+M99,0)</f>
        <v>25156600</v>
      </c>
      <c r="Q99" s="31"/>
      <c r="R99" s="728" t="s">
        <v>207</v>
      </c>
      <c r="S99" s="729"/>
      <c r="T99" s="730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39" t="s">
        <v>208</v>
      </c>
      <c r="S100" s="740"/>
      <c r="T100" s="741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18430172</v>
      </c>
      <c r="G101" s="235">
        <f>+ROUND(+SUM(G99:G100),0)</f>
        <v>25156600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18430172</v>
      </c>
      <c r="P101" s="363">
        <f>+ROUND(+SUM(P99:P100),0)</f>
        <v>25156600</v>
      </c>
      <c r="Q101" s="31"/>
      <c r="R101" s="748" t="s">
        <v>209</v>
      </c>
      <c r="S101" s="749"/>
      <c r="T101" s="7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18430172</v>
      </c>
      <c r="G103" s="257">
        <f>+ROUND(G91+G97+G101,0)</f>
        <v>25156600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18430172</v>
      </c>
      <c r="P103" s="380">
        <f>+ROUND(P91+P97+P101,0)</f>
        <v>25156600</v>
      </c>
      <c r="Q103" s="106"/>
      <c r="R103" s="760" t="s">
        <v>210</v>
      </c>
      <c r="S103" s="761"/>
      <c r="T103" s="76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8" t="s">
        <v>211</v>
      </c>
      <c r="S106" s="729"/>
      <c r="T106" s="730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39" t="s">
        <v>212</v>
      </c>
      <c r="S107" s="740"/>
      <c r="T107" s="741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48" t="s">
        <v>213</v>
      </c>
      <c r="S108" s="749"/>
      <c r="T108" s="75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75" t="s">
        <v>214</v>
      </c>
      <c r="S110" s="776"/>
      <c r="T110" s="777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78" t="s">
        <v>215</v>
      </c>
      <c r="S111" s="779"/>
      <c r="T111" s="780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48" t="s">
        <v>216</v>
      </c>
      <c r="S112" s="749"/>
      <c r="T112" s="75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8" t="s">
        <v>217</v>
      </c>
      <c r="S114" s="729"/>
      <c r="T114" s="730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39" t="s">
        <v>218</v>
      </c>
      <c r="S115" s="740"/>
      <c r="T115" s="741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48" t="s">
        <v>219</v>
      </c>
      <c r="S116" s="749"/>
      <c r="T116" s="75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/>
      <c r="M118" s="259"/>
      <c r="N118" s="227"/>
      <c r="O118" s="366">
        <f>+ROUND(+F118+I118+L118,0)</f>
        <v>0</v>
      </c>
      <c r="P118" s="359">
        <f>+ROUND(+G118+J118+M118,0)</f>
        <v>0</v>
      </c>
      <c r="Q118" s="31"/>
      <c r="R118" s="728" t="s">
        <v>220</v>
      </c>
      <c r="S118" s="729"/>
      <c r="T118" s="730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39" t="s">
        <v>221</v>
      </c>
      <c r="S119" s="740"/>
      <c r="T119" s="741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0</v>
      </c>
      <c r="M120" s="261">
        <f>+ROUND(+SUM(M118:M119),0)</f>
        <v>0</v>
      </c>
      <c r="N120" s="227"/>
      <c r="O120" s="381">
        <f>+ROUND(+SUM(O118:O119),0)</f>
        <v>0</v>
      </c>
      <c r="P120" s="382">
        <f>+ROUND(+SUM(P118:P119),0)</f>
        <v>0</v>
      </c>
      <c r="Q120" s="31"/>
      <c r="R120" s="748" t="s">
        <v>222</v>
      </c>
      <c r="S120" s="749"/>
      <c r="T120" s="75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0</v>
      </c>
      <c r="M122" s="272">
        <f>+ROUND(M108+M112+M116+M120,0)</f>
        <v>0</v>
      </c>
      <c r="N122" s="227"/>
      <c r="O122" s="385">
        <f>+ROUND(O108+O112+O116+O120,0)</f>
        <v>0</v>
      </c>
      <c r="P122" s="392">
        <f>+ROUND(P108+P112+P116+P120,0)</f>
        <v>0</v>
      </c>
      <c r="Q122" s="31"/>
      <c r="R122" s="763" t="s">
        <v>223</v>
      </c>
      <c r="S122" s="764"/>
      <c r="T122" s="76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8" t="s">
        <v>224</v>
      </c>
      <c r="S124" s="729"/>
      <c r="T124" s="730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-6285713</v>
      </c>
      <c r="G125" s="233">
        <v>-949285</v>
      </c>
      <c r="H125" s="15"/>
      <c r="I125" s="234"/>
      <c r="J125" s="233"/>
      <c r="K125" s="227"/>
      <c r="L125" s="234"/>
      <c r="M125" s="233"/>
      <c r="N125" s="227"/>
      <c r="O125" s="361">
        <f t="shared" si="7"/>
        <v>-6285713</v>
      </c>
      <c r="P125" s="384">
        <f t="shared" si="7"/>
        <v>-949285</v>
      </c>
      <c r="Q125" s="31"/>
      <c r="R125" s="739" t="s">
        <v>225</v>
      </c>
      <c r="S125" s="740"/>
      <c r="T125" s="74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-1627380</v>
      </c>
      <c r="G126" s="233">
        <v>-101541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-1627380</v>
      </c>
      <c r="P126" s="384">
        <f t="shared" si="7"/>
        <v>-101541</v>
      </c>
      <c r="Q126" s="31"/>
      <c r="R126" s="769" t="s">
        <v>286</v>
      </c>
      <c r="S126" s="770"/>
      <c r="T126" s="77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781" t="s">
        <v>282</v>
      </c>
      <c r="S127" s="782"/>
      <c r="T127" s="783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72" t="s">
        <v>226</v>
      </c>
      <c r="S128" s="773"/>
      <c r="T128" s="77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-7913093</v>
      </c>
      <c r="G129" s="270">
        <f>+ROUND(+SUM(G124,G125,G126,G128),0)</f>
        <v>-1050826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-7913093</v>
      </c>
      <c r="P129" s="387">
        <f>+ROUND(+SUM(P124,P125,P126,P128),0)</f>
        <v>-1050826</v>
      </c>
      <c r="Q129" s="31"/>
      <c r="R129" s="766" t="s">
        <v>227</v>
      </c>
      <c r="S129" s="767"/>
      <c r="T129" s="76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462756331</v>
      </c>
      <c r="G131" s="229">
        <v>410285780</v>
      </c>
      <c r="H131" s="15"/>
      <c r="I131" s="230"/>
      <c r="J131" s="229"/>
      <c r="K131" s="227"/>
      <c r="L131" s="230"/>
      <c r="M131" s="229"/>
      <c r="N131" s="227"/>
      <c r="O131" s="365">
        <f aca="true" t="shared" si="8" ref="O131:P133">+ROUND(+F131+I131+L131,0)</f>
        <v>462756331</v>
      </c>
      <c r="P131" s="378">
        <f t="shared" si="8"/>
        <v>410285780</v>
      </c>
      <c r="Q131" s="31"/>
      <c r="R131" s="728" t="s">
        <v>228</v>
      </c>
      <c r="S131" s="729"/>
      <c r="T131" s="73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39" t="s">
        <v>229</v>
      </c>
      <c r="S132" s="740"/>
      <c r="T132" s="741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485159918</v>
      </c>
      <c r="G133" s="233">
        <v>462756331</v>
      </c>
      <c r="H133" s="15"/>
      <c r="I133" s="234"/>
      <c r="J133" s="233"/>
      <c r="K133" s="227"/>
      <c r="L133" s="234"/>
      <c r="M133" s="233"/>
      <c r="N133" s="227"/>
      <c r="O133" s="361">
        <f t="shared" si="8"/>
        <v>485159918</v>
      </c>
      <c r="P133" s="384">
        <f t="shared" si="8"/>
        <v>462756331</v>
      </c>
      <c r="Q133" s="31"/>
      <c r="R133" s="789" t="s">
        <v>230</v>
      </c>
      <c r="S133" s="790"/>
      <c r="T133" s="79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22403587</v>
      </c>
      <c r="G134" s="275">
        <f>+ROUND(+G133-G131-G132,0)</f>
        <v>52470551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0</v>
      </c>
      <c r="M134" s="275">
        <f>+ROUND(+M133-M131-M132,0)</f>
        <v>0</v>
      </c>
      <c r="N134" s="227"/>
      <c r="O134" s="394">
        <f>+ROUND(+O133-O131-O132,0)</f>
        <v>22403587</v>
      </c>
      <c r="P134" s="395">
        <f>+ROUND(+P133-P131-P132,0)</f>
        <v>52470551</v>
      </c>
      <c r="Q134" s="31"/>
      <c r="R134" s="786" t="s">
        <v>295</v>
      </c>
      <c r="S134" s="787"/>
      <c r="T134" s="788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1"/>
      <c r="D135" s="721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681" t="s">
        <v>309</v>
      </c>
      <c r="S137" s="682"/>
      <c r="T137" s="6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684" t="s">
        <v>306</v>
      </c>
      <c r="S138" s="685"/>
      <c r="T138" s="6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687" t="s">
        <v>305</v>
      </c>
      <c r="S139" s="688"/>
      <c r="T139" s="6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690" t="s">
        <v>296</v>
      </c>
      <c r="S140" s="691"/>
      <c r="T140" s="6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22403587</v>
      </c>
      <c r="G142" s="537">
        <f>+G134+G140</f>
        <v>52470551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0</v>
      </c>
      <c r="M142" s="537">
        <f>+M134+M140</f>
        <v>0</v>
      </c>
      <c r="N142" s="227"/>
      <c r="O142" s="394">
        <f>+O134+O140</f>
        <v>22403587</v>
      </c>
      <c r="P142" s="395">
        <f>+P134+P140</f>
        <v>52470551</v>
      </c>
      <c r="Q142" s="31"/>
      <c r="R142" s="693" t="s">
        <v>298</v>
      </c>
      <c r="S142" s="694"/>
      <c r="T142" s="6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31102023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696" t="s">
        <v>456</v>
      </c>
      <c r="G148" s="697"/>
      <c r="H148" s="697"/>
      <c r="I148" s="698"/>
      <c r="J148" s="346"/>
      <c r="K148" s="16"/>
      <c r="L148" s="346" t="s">
        <v>234</v>
      </c>
      <c r="M148" s="696" t="s">
        <v>457</v>
      </c>
      <c r="N148" s="697"/>
      <c r="O148" s="697"/>
      <c r="P148" s="69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485159918</v>
      </c>
      <c r="G160" s="566">
        <f>+G133+G139</f>
        <v>462756331</v>
      </c>
      <c r="I160" s="565">
        <f>+I133+I139</f>
        <v>0</v>
      </c>
      <c r="J160" s="566">
        <f>+J133+J139</f>
        <v>0</v>
      </c>
      <c r="K160" s="227"/>
      <c r="L160" s="565">
        <f>+L133+L139</f>
        <v>0</v>
      </c>
      <c r="M160" s="566">
        <f>+M133+M139</f>
        <v>0</v>
      </c>
      <c r="N160" s="227"/>
      <c r="O160" s="569">
        <f>+ROUND(+F160+I160+L160,0)</f>
        <v>485159918</v>
      </c>
      <c r="P160" s="570">
        <f>+ROUND(+G160+J160+M160,0)</f>
        <v>462756331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677">
        <f>+'Cash-Flow-2023-Leva'!P5</f>
        <v>2023</v>
      </c>
      <c r="D161" s="678"/>
      <c r="F161" s="562">
        <v>485159918</v>
      </c>
      <c r="G161" s="563">
        <v>462756331</v>
      </c>
      <c r="I161" s="562"/>
      <c r="J161" s="563"/>
      <c r="K161" s="227"/>
      <c r="L161" s="562"/>
      <c r="M161" s="563"/>
      <c r="N161" s="227"/>
      <c r="O161" s="571">
        <f>+ROUND(+F161+I161+L161,0)</f>
        <v>485159918</v>
      </c>
      <c r="P161" s="572">
        <f>+ROUND(+G161+J161+M161,0)</f>
        <v>462756331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30.09.2023 г.</v>
      </c>
      <c r="G162" s="556">
        <f>+G11</f>
        <v>2022</v>
      </c>
      <c r="I162" s="594" t="str">
        <f>+I11</f>
        <v>30.09.2023 г.</v>
      </c>
      <c r="J162" s="558">
        <f>+J11</f>
        <v>2022</v>
      </c>
      <c r="K162" s="11"/>
      <c r="L162" s="595" t="str">
        <f>+L11</f>
        <v>30.09.2023 г.</v>
      </c>
      <c r="M162" s="561">
        <f>+M11</f>
        <v>2022</v>
      </c>
      <c r="N162" s="11"/>
      <c r="O162" s="596" t="str">
        <f>+O11</f>
        <v>30.09.2023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93">
        <f>+IF(F171&gt;0,"БЮДЖЕТ",0)</f>
        <v>0</v>
      </c>
      <c r="G170" s="793"/>
      <c r="I170" s="793">
        <f>+IF(I171&gt;0,"СЕС",0)</f>
        <v>0</v>
      </c>
      <c r="J170" s="793"/>
      <c r="K170" s="11"/>
      <c r="L170" s="793">
        <f>+IF(L171&gt;0,"ДСД",0)</f>
        <v>0</v>
      </c>
      <c r="M170" s="793"/>
      <c r="N170" s="11"/>
      <c r="O170" s="793">
        <f>+IF(O171&gt;0,"Общо (Б-т + СЕС + ДСД)",0)</f>
        <v>0</v>
      </c>
      <c r="P170" s="79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93">
        <f>+COUNTIF(F168:G168,"&lt;&gt;0")</f>
        <v>0</v>
      </c>
      <c r="G171" s="793"/>
      <c r="I171" s="793">
        <f>+COUNTIF(I168:J168,"&lt;&gt;0")</f>
        <v>0</v>
      </c>
      <c r="J171" s="793"/>
      <c r="K171" s="11"/>
      <c r="L171" s="793">
        <f>+COUNTIF(L168:M168,"&lt;&gt;0")</f>
        <v>0</v>
      </c>
      <c r="M171" s="793"/>
      <c r="N171" s="11"/>
      <c r="O171" s="793">
        <f>+COUNTIF(O168:P168,"&lt;&gt;0")</f>
        <v>0</v>
      </c>
      <c r="P171" s="79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2">
        <f>+IF(O174&gt;0,"ВСИЧКО: Б-т + СЕС + ДСД + Общо",0)</f>
        <v>0</v>
      </c>
      <c r="P173" s="79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2">
        <f>+SUM(F171:P171)</f>
        <v>0</v>
      </c>
      <c r="P174" s="79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300" dxfId="141" operator="notEqual" stopIfTrue="1">
      <formula>0</formula>
    </cfRule>
  </conditionalFormatting>
  <conditionalFormatting sqref="B135 B144:E146 B143:D143">
    <cfRule type="cellIs" priority="285" dxfId="142" operator="notEqual" stopIfTrue="1">
      <formula>0</formula>
    </cfRule>
    <cfRule type="cellIs" priority="201" dxfId="143" operator="equal">
      <formula>0</formula>
    </cfRule>
  </conditionalFormatting>
  <conditionalFormatting sqref="F150:G151">
    <cfRule type="cellIs" priority="213" dxfId="144" operator="equal" stopIfTrue="1">
      <formula>"НЕРАВНЕНИЕ!"</formula>
    </cfRule>
    <cfRule type="cellIs" priority="214" dxfId="16" operator="equal" stopIfTrue="1">
      <formula>"НЕРАВНЕНИЕ!"</formula>
    </cfRule>
  </conditionalFormatting>
  <conditionalFormatting sqref="O150:O151 I150:J151">
    <cfRule type="cellIs" priority="212" dxfId="144" operator="equal" stopIfTrue="1">
      <formula>"НЕРАВНЕНИЕ!"</formula>
    </cfRule>
  </conditionalFormatting>
  <conditionalFormatting sqref="L150:L151 N150:N151">
    <cfRule type="cellIs" priority="211" dxfId="144" operator="equal" stopIfTrue="1">
      <formula>"НЕРАВНЕНИЕ!"</formula>
    </cfRule>
  </conditionalFormatting>
  <conditionalFormatting sqref="F153:G154">
    <cfRule type="cellIs" priority="209" dxfId="144" operator="equal" stopIfTrue="1">
      <formula>"НЕРАВНЕНИЕ !"</formula>
    </cfRule>
    <cfRule type="cellIs" priority="210" dxfId="16" operator="equal" stopIfTrue="1">
      <formula>"НЕРАВНЕНИЕ !"</formula>
    </cfRule>
  </conditionalFormatting>
  <conditionalFormatting sqref="O153:O154 I153:J154">
    <cfRule type="cellIs" priority="208" dxfId="144" operator="equal" stopIfTrue="1">
      <formula>"НЕРАВНЕНИЕ !"</formula>
    </cfRule>
  </conditionalFormatting>
  <conditionalFormatting sqref="L153:L154 N153:N154">
    <cfRule type="cellIs" priority="207" dxfId="144" operator="equal" stopIfTrue="1">
      <formula>"НЕРАВНЕНИЕ !"</formula>
    </cfRule>
  </conditionalFormatting>
  <conditionalFormatting sqref="L153:L154 O153:O154 F153:G154 I153:J154">
    <cfRule type="cellIs" priority="206" dxfId="144" operator="notEqual">
      <formula>0</formula>
    </cfRule>
  </conditionalFormatting>
  <conditionalFormatting sqref="L84">
    <cfRule type="cellIs" priority="187" dxfId="141" operator="notEqual" stopIfTrue="1">
      <formula>0</formula>
    </cfRule>
  </conditionalFormatting>
  <conditionalFormatting sqref="O84">
    <cfRule type="cellIs" priority="186" dxfId="141" operator="notEqual" stopIfTrue="1">
      <formula>0</formula>
    </cfRule>
  </conditionalFormatting>
  <conditionalFormatting sqref="L135">
    <cfRule type="cellIs" priority="196" dxfId="141" operator="notEqual" stopIfTrue="1">
      <formula>0</formula>
    </cfRule>
  </conditionalFormatting>
  <conditionalFormatting sqref="O135 O143:O146">
    <cfRule type="cellIs" priority="194" dxfId="141" operator="notEqual" stopIfTrue="1">
      <formula>0</formula>
    </cfRule>
  </conditionalFormatting>
  <conditionalFormatting sqref="M84 M135 M143:M146">
    <cfRule type="cellIs" priority="177" dxfId="141" operator="notEqual" stopIfTrue="1">
      <formula>0</formula>
    </cfRule>
  </conditionalFormatting>
  <conditionalFormatting sqref="M150:M151">
    <cfRule type="cellIs" priority="176" dxfId="144" operator="equal" stopIfTrue="1">
      <formula>"НЕРАВНЕНИЕ!"</formula>
    </cfRule>
  </conditionalFormatting>
  <conditionalFormatting sqref="M153:M154">
    <cfRule type="cellIs" priority="175" dxfId="144" operator="equal" stopIfTrue="1">
      <formula>"НЕРАВНЕНИЕ !"</formula>
    </cfRule>
  </conditionalFormatting>
  <conditionalFormatting sqref="M153:M154">
    <cfRule type="cellIs" priority="174" dxfId="144" operator="notEqual">
      <formula>0</formula>
    </cfRule>
  </conditionalFormatting>
  <conditionalFormatting sqref="P84 P135 P143:P146">
    <cfRule type="cellIs" priority="173" dxfId="141" operator="notEqual" stopIfTrue="1">
      <formula>0</formula>
    </cfRule>
  </conditionalFormatting>
  <conditionalFormatting sqref="P150:P151">
    <cfRule type="cellIs" priority="172" dxfId="144" operator="equal" stopIfTrue="1">
      <formula>"НЕРАВНЕНИЕ!"</formula>
    </cfRule>
  </conditionalFormatting>
  <conditionalFormatting sqref="P153:P154">
    <cfRule type="cellIs" priority="171" dxfId="144" operator="equal" stopIfTrue="1">
      <formula>"НЕРАВНЕНИЕ !"</formula>
    </cfRule>
  </conditionalFormatting>
  <conditionalFormatting sqref="P153:P154">
    <cfRule type="cellIs" priority="170" dxfId="144" operator="notEqual">
      <formula>0</formula>
    </cfRule>
  </conditionalFormatting>
  <conditionalFormatting sqref="B3">
    <cfRule type="cellIs" priority="166" dxfId="145" operator="equal" stopIfTrue="1">
      <formula>0</formula>
    </cfRule>
  </conditionalFormatting>
  <conditionalFormatting sqref="G2:H2">
    <cfRule type="cellIs" priority="164" dxfId="144" operator="equal">
      <formula>"отчетено НЕРАВНЕНИЕ в таблица 'Status'!"</formula>
    </cfRule>
    <cfRule type="cellIs" priority="165" dxfId="146" operator="equal">
      <formula>0</formula>
    </cfRule>
  </conditionalFormatting>
  <conditionalFormatting sqref="J2">
    <cfRule type="cellIs" priority="163" dxfId="144" operator="notEqual">
      <formula>0</formula>
    </cfRule>
  </conditionalFormatting>
  <conditionalFormatting sqref="M2:N2">
    <cfRule type="cellIs" priority="162" dxfId="144" operator="notEqual">
      <formula>0</formula>
    </cfRule>
  </conditionalFormatting>
  <conditionalFormatting sqref="H1">
    <cfRule type="cellIs" priority="160" dxfId="144" operator="equal">
      <formula>"отчетено НЕРАВНЕНИЕ в таблица 'Status'!"</formula>
    </cfRule>
    <cfRule type="cellIs" priority="161" dxfId="146" operator="equal">
      <formula>0</formula>
    </cfRule>
  </conditionalFormatting>
  <conditionalFormatting sqref="K1">
    <cfRule type="cellIs" priority="159" dxfId="144" operator="notEqual">
      <formula>0</formula>
    </cfRule>
  </conditionalFormatting>
  <conditionalFormatting sqref="M1">
    <cfRule type="cellIs" priority="158" dxfId="145" operator="equal" stopIfTrue="1">
      <formula>0</formula>
    </cfRule>
  </conditionalFormatting>
  <conditionalFormatting sqref="N1">
    <cfRule type="cellIs" priority="157" dxfId="144" operator="notEqual">
      <formula>0</formula>
    </cfRule>
  </conditionalFormatting>
  <conditionalFormatting sqref="P1">
    <cfRule type="cellIs" priority="156" dxfId="145" operator="equal" stopIfTrue="1">
      <formula>0</formula>
    </cfRule>
  </conditionalFormatting>
  <conditionalFormatting sqref="S1:T1">
    <cfRule type="cellIs" priority="140" dxfId="147" operator="between" stopIfTrue="1">
      <formula>1000000000000</formula>
      <formula>9999999999999990</formula>
    </cfRule>
    <cfRule type="cellIs" priority="141" dxfId="148" operator="between" stopIfTrue="1">
      <formula>10000000000</formula>
      <formula>999999999999</formula>
    </cfRule>
    <cfRule type="cellIs" priority="142" dxfId="149" operator="between" stopIfTrue="1">
      <formula>1000000</formula>
      <formula>99999999</formula>
    </cfRule>
    <cfRule type="cellIs" priority="143" dxfId="150" operator="between" stopIfTrue="1">
      <formula>100</formula>
      <formula>9999</formula>
    </cfRule>
  </conditionalFormatting>
  <conditionalFormatting sqref="B84">
    <cfRule type="cellIs" priority="139" dxfId="142" operator="notEqual" stopIfTrue="1">
      <formula>0</formula>
    </cfRule>
    <cfRule type="cellIs" priority="138" dxfId="151" operator="equal">
      <formula>0</formula>
    </cfRule>
  </conditionalFormatting>
  <conditionalFormatting sqref="B127 R127">
    <cfRule type="expression" priority="137" dxfId="152" stopIfTrue="1">
      <formula>$M$1=9900</formula>
    </cfRule>
  </conditionalFormatting>
  <conditionalFormatting sqref="F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B5:C5">
    <cfRule type="cellIs" priority="28" dxfId="143" operator="equal" stopIfTrue="1">
      <formula>0</formula>
    </cfRule>
  </conditionalFormatting>
  <conditionalFormatting sqref="F168:G168">
    <cfRule type="cellIs" priority="22" dxfId="144" operator="equal" stopIfTrue="1">
      <formula>"НЕРАВНЕНИЕ !"</formula>
    </cfRule>
    <cfRule type="cellIs" priority="23" dxfId="16" operator="equal" stopIfTrue="1">
      <formula>"НЕРАВНЕНИЕ !"</formula>
    </cfRule>
  </conditionalFormatting>
  <conditionalFormatting sqref="P168">
    <cfRule type="cellIs" priority="15" dxfId="144" operator="notEqual">
      <formula>0</formula>
    </cfRule>
  </conditionalFormatting>
  <conditionalFormatting sqref="F164">
    <cfRule type="cellIs" priority="27" dxfId="146" operator="equal">
      <formula>0</formula>
    </cfRule>
  </conditionalFormatting>
  <conditionalFormatting sqref="G164">
    <cfRule type="cellIs" priority="26" dxfId="146" operator="equal">
      <formula>0</formula>
    </cfRule>
  </conditionalFormatting>
  <conditionalFormatting sqref="O164">
    <cfRule type="cellIs" priority="25" dxfId="146" operator="equal">
      <formula>0</formula>
    </cfRule>
  </conditionalFormatting>
  <conditionalFormatting sqref="P164">
    <cfRule type="cellIs" priority="24" dxfId="146" operator="equal">
      <formula>0</formula>
    </cfRule>
  </conditionalFormatting>
  <conditionalFormatting sqref="O168 I168:J168">
    <cfRule type="cellIs" priority="21" dxfId="144" operator="equal" stopIfTrue="1">
      <formula>"НЕРАВНЕНИЕ !"</formula>
    </cfRule>
  </conditionalFormatting>
  <conditionalFormatting sqref="L168 N168">
    <cfRule type="cellIs" priority="20" dxfId="144" operator="equal" stopIfTrue="1">
      <formula>"НЕРАВНЕНИЕ !"</formula>
    </cfRule>
  </conditionalFormatting>
  <conditionalFormatting sqref="L168 O168 F168:G168 I168:J168">
    <cfRule type="cellIs" priority="19" dxfId="144" operator="notEqual">
      <formula>0</formula>
    </cfRule>
  </conditionalFormatting>
  <conditionalFormatting sqref="M168">
    <cfRule type="cellIs" priority="18" dxfId="144" operator="equal" stopIfTrue="1">
      <formula>"НЕРАВНЕНИЕ !"</formula>
    </cfRule>
  </conditionalFormatting>
  <conditionalFormatting sqref="M168">
    <cfRule type="cellIs" priority="17" dxfId="144" operator="notEqual">
      <formula>0</formula>
    </cfRule>
  </conditionalFormatting>
  <conditionalFormatting sqref="P168">
    <cfRule type="cellIs" priority="16" dxfId="144" operator="equal" stopIfTrue="1">
      <formula>"НЕРАВНЕНИЕ !"</formula>
    </cfRule>
  </conditionalFormatting>
  <conditionalFormatting sqref="I164">
    <cfRule type="cellIs" priority="14" dxfId="146" operator="equal">
      <formula>0</formula>
    </cfRule>
  </conditionalFormatting>
  <conditionalFormatting sqref="J164">
    <cfRule type="cellIs" priority="13" dxfId="146" operator="equal">
      <formula>0</formula>
    </cfRule>
  </conditionalFormatting>
  <conditionalFormatting sqref="L164">
    <cfRule type="cellIs" priority="12" dxfId="146" operator="equal">
      <formula>0</formula>
    </cfRule>
  </conditionalFormatting>
  <conditionalFormatting sqref="M164">
    <cfRule type="cellIs" priority="11" dxfId="146" operator="equal">
      <formula>0</formula>
    </cfRule>
  </conditionalFormatting>
  <conditionalFormatting sqref="F167:G167">
    <cfRule type="cellIs" priority="9" dxfId="144" operator="equal" stopIfTrue="1">
      <formula>"НЕРАВНЕНИЕ!"</formula>
    </cfRule>
    <cfRule type="cellIs" priority="10" dxfId="16" operator="equal" stopIfTrue="1">
      <formula>"НЕРАВНЕНИЕ!"</formula>
    </cfRule>
  </conditionalFormatting>
  <conditionalFormatting sqref="O167 I167:J167">
    <cfRule type="cellIs" priority="8" dxfId="144" operator="equal" stopIfTrue="1">
      <formula>"НЕРАВНЕНИЕ!"</formula>
    </cfRule>
  </conditionalFormatting>
  <conditionalFormatting sqref="L167 N167">
    <cfRule type="cellIs" priority="7" dxfId="144" operator="equal" stopIfTrue="1">
      <formula>"НЕРАВНЕНИЕ!"</formula>
    </cfRule>
  </conditionalFormatting>
  <conditionalFormatting sqref="M167">
    <cfRule type="cellIs" priority="6" dxfId="144" operator="equal" stopIfTrue="1">
      <formula>"НЕРАВНЕНИЕ!"</formula>
    </cfRule>
  </conditionalFormatting>
  <conditionalFormatting sqref="P167">
    <cfRule type="cellIs" priority="5" dxfId="144" operator="equal" stopIfTrue="1">
      <formula>"НЕРАВНЕНИЕ!"</formula>
    </cfRule>
  </conditionalFormatting>
  <conditionalFormatting sqref="O170:P171 L170:M171 I170:J171 F170:G171">
    <cfRule type="cellIs" priority="4" dxfId="153" operator="equal" stopIfTrue="1">
      <formula>0</formula>
    </cfRule>
  </conditionalFormatting>
  <conditionalFormatting sqref="O173:P174">
    <cfRule type="cellIs" priority="3" dxfId="153" operator="equal" stopIfTrue="1">
      <formula>0</formula>
    </cfRule>
  </conditionalFormatting>
  <conditionalFormatting sqref="B6:C6">
    <cfRule type="cellIs" priority="2" dxfId="143" operator="equal" stopIfTrue="1">
      <formula>0</formula>
    </cfRule>
  </conditionalFormatting>
  <conditionalFormatting sqref="B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794" t="str">
        <f>+'Cash-Flow-2023-Leva'!B1:F1</f>
        <v>НАЦИОНАЛЕН ОСИГУРИТЕЛЕН ИНСТИТУТ</v>
      </c>
      <c r="C1" s="795"/>
      <c r="D1" s="795"/>
      <c r="E1" s="795"/>
      <c r="F1" s="796"/>
      <c r="G1" s="438" t="s">
        <v>244</v>
      </c>
      <c r="H1" s="121"/>
      <c r="I1" s="797">
        <f>+'Cash-Flow-2023-Leva'!I1:J1</f>
        <v>121082521</v>
      </c>
      <c r="J1" s="798"/>
      <c r="K1" s="439"/>
      <c r="L1" s="440" t="s">
        <v>245</v>
      </c>
      <c r="M1" s="441">
        <f>+'Cash-Flow-2023-Leva'!M1</f>
        <v>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799">
        <f>+'Cash-Flow-2023-Leva'!$S$1</f>
        <v>0</v>
      </c>
      <c r="T1" s="80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01" t="s">
        <v>249</v>
      </c>
      <c r="C2" s="802"/>
      <c r="D2" s="802"/>
      <c r="E2" s="802"/>
      <c r="F2" s="80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04" t="str">
        <f>+'Cash-Flow-2023-Leva'!B3:F3</f>
        <v>[Седалище и адрес]</v>
      </c>
      <c r="C3" s="805"/>
      <c r="D3" s="805"/>
      <c r="E3" s="805"/>
      <c r="F3" s="806"/>
      <c r="G3" s="445" t="s">
        <v>238</v>
      </c>
      <c r="H3" s="807">
        <f>+'Cash-Flow-2023-Leva'!H3</f>
        <v>0</v>
      </c>
      <c r="I3" s="808"/>
      <c r="J3" s="808"/>
      <c r="K3" s="809"/>
      <c r="L3" s="51" t="s">
        <v>246</v>
      </c>
      <c r="M3" s="810">
        <f>+'Cash-Flow-2023-Leva'!M3:P3</f>
        <v>0</v>
      </c>
      <c r="N3" s="811"/>
      <c r="O3" s="811"/>
      <c r="P3" s="81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679">
        <f>+'Cash-Flow-2023-Leva'!B5</f>
        <v>0</v>
      </c>
      <c r="C5" s="679"/>
      <c r="D5" s="814" t="s">
        <v>243</v>
      </c>
      <c r="E5" s="814"/>
      <c r="F5" s="814"/>
      <c r="G5" s="814"/>
      <c r="H5" s="814"/>
      <c r="I5" s="814"/>
      <c r="J5" s="814"/>
      <c r="K5" s="814"/>
      <c r="L5" s="814"/>
      <c r="M5" s="39"/>
      <c r="N5" s="39"/>
      <c r="O5" s="53" t="s">
        <v>17</v>
      </c>
      <c r="P5" s="449">
        <f>+'Cash-Flow-2023-Leva'!P5</f>
        <v>2023</v>
      </c>
      <c r="Q5" s="39"/>
      <c r="R5" s="813" t="s">
        <v>180</v>
      </c>
      <c r="S5" s="813"/>
      <c r="T5" s="813"/>
      <c r="U5" s="6"/>
    </row>
    <row r="6" spans="1:28" s="3" customFormat="1" ht="17.25" customHeight="1">
      <c r="A6" s="6"/>
      <c r="B6" s="822">
        <f>+'Cash-Flow-2023-Leva'!B6</f>
        <v>0</v>
      </c>
      <c r="C6" s="822"/>
      <c r="D6" s="814" t="s">
        <v>242</v>
      </c>
      <c r="E6" s="814"/>
      <c r="F6" s="814"/>
      <c r="G6" s="814"/>
      <c r="H6" s="814"/>
      <c r="I6" s="814"/>
      <c r="J6" s="814"/>
      <c r="K6" s="814"/>
      <c r="L6" s="814"/>
      <c r="M6" s="42"/>
      <c r="N6" s="5"/>
      <c r="O6" s="6"/>
      <c r="P6" s="6"/>
      <c r="Q6" s="1"/>
      <c r="R6" s="815">
        <f>+P4</f>
        <v>0</v>
      </c>
      <c r="S6" s="815"/>
      <c r="T6" s="815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16" t="str">
        <f>+B1</f>
        <v>НАЦИОНАЛЕН ОСИГУРИТЕЛЕН ИНСТИТУТ</v>
      </c>
      <c r="E8" s="816"/>
      <c r="F8" s="816"/>
      <c r="G8" s="816"/>
      <c r="H8" s="816"/>
      <c r="I8" s="816"/>
      <c r="J8" s="816"/>
      <c r="K8" s="816"/>
      <c r="L8" s="816"/>
      <c r="M8" s="446" t="s">
        <v>247</v>
      </c>
      <c r="N8" s="5"/>
      <c r="O8" s="597" t="str">
        <f>+'Cash-Flow-2023-Leva'!O8</f>
        <v>30.09.2023 г.</v>
      </c>
      <c r="P8" s="447" t="s">
        <v>8</v>
      </c>
      <c r="Q8" s="1"/>
      <c r="R8" s="817">
        <f>+P5</f>
        <v>2023</v>
      </c>
      <c r="S8" s="818"/>
      <c r="T8" s="819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30.09.2023 г.</v>
      </c>
      <c r="G11" s="396">
        <f>+'Cash-Flow-2023-Leva'!G11</f>
        <v>2022</v>
      </c>
      <c r="H11" s="5"/>
      <c r="I11" s="589" t="str">
        <f>+O8</f>
        <v>30.09.2023 г.</v>
      </c>
      <c r="J11" s="397">
        <f>+'Cash-Flow-2023-Leva'!J11</f>
        <v>2022</v>
      </c>
      <c r="K11" s="5"/>
      <c r="L11" s="590" t="str">
        <f>+O8</f>
        <v>30.09.2023 г.</v>
      </c>
      <c r="M11" s="398">
        <f>+'Cash-Flow-2023-Leva'!M11</f>
        <v>2022</v>
      </c>
      <c r="N11" s="462"/>
      <c r="O11" s="591" t="str">
        <f>+O8</f>
        <v>30.09.2023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71953.499</v>
      </c>
      <c r="G15" s="255">
        <f>+'Cash-Flow-2023-Leva'!G15/1000</f>
        <v>92882.483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71953.499</v>
      </c>
      <c r="P15" s="378">
        <f aca="true" t="shared" si="1" ref="P15:P24">+G15+J15+M15</f>
        <v>92882.483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0</v>
      </c>
      <c r="G18" s="255">
        <f>+'Cash-Flow-2023-Leva'!G18/1000</f>
        <v>0.005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0</v>
      </c>
      <c r="P18" s="378">
        <f t="shared" si="1"/>
        <v>0.005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0</v>
      </c>
      <c r="G19" s="278">
        <f>+'Cash-Flow-2023-Leva'!G19/1000</f>
        <v>0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0</v>
      </c>
      <c r="G20" s="278">
        <f>+'Cash-Flow-2023-Leva'!G20/1000</f>
        <v>0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3710.283</v>
      </c>
      <c r="G22" s="278">
        <f>+'Cash-Flow-2023-Leva'!G22/1000</f>
        <v>5168.988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3710.283</v>
      </c>
      <c r="P22" s="412">
        <f t="shared" si="1"/>
        <v>5168.988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0</v>
      </c>
      <c r="G24" s="267">
        <f>+'Cash-Flow-2023-Leva'!G24/1000</f>
        <v>0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0</v>
      </c>
      <c r="P24" s="384">
        <f t="shared" si="1"/>
        <v>0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75663.78199999999</v>
      </c>
      <c r="G25" s="235">
        <f>+SUM(G15,G16,G18,G19,G20,G21,G22,G23,G24)</f>
        <v>98051.476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75663.78199999999</v>
      </c>
      <c r="P25" s="363">
        <f>+SUM(P15,P16,P18,P19,P20,P21,P22,P23,P24)</f>
        <v>98051.476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0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0</v>
      </c>
      <c r="G37" s="235">
        <f>+'Cash-Flow-2023-Leva'!G37/1000</f>
        <v>0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0</v>
      </c>
      <c r="P37" s="363">
        <f t="shared" si="3"/>
        <v>0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0</v>
      </c>
      <c r="G38" s="280">
        <f>+'Cash-Flow-2023-Leva'!G38/1000</f>
        <v>0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0</v>
      </c>
      <c r="G39" s="282">
        <f>+'Cash-Flow-2023-Leva'!G39/1000</f>
        <v>0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0</v>
      </c>
      <c r="G42" s="235">
        <f>+'Cash-Flow-2023-Leva'!G42/1000</f>
        <v>0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0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</v>
      </c>
      <c r="G47" s="267">
        <f>+'Cash-Flow-2023-Leva'!G47/1000</f>
        <v>0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75663.78199999999</v>
      </c>
      <c r="G50" s="257">
        <f>+G25+G30+G37+G42+G48</f>
        <v>98051.476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75663.78199999999</v>
      </c>
      <c r="P50" s="380">
        <f>+P25+P30+P37+P42+P48</f>
        <v>98051.476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0</v>
      </c>
      <c r="G53" s="228">
        <f>+'Cash-Flow-2023-Leva'!G53/1000</f>
        <v>0</v>
      </c>
      <c r="H53" s="277"/>
      <c r="I53" s="238">
        <f>+'Cash-Flow-2023-Leva'!I53/1000</f>
        <v>0</v>
      </c>
      <c r="J53" s="228">
        <f>+'Cash-Flow-2023-Leva'!J53/1000</f>
        <v>0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0</v>
      </c>
      <c r="P53" s="359">
        <f t="shared" si="5"/>
        <v>0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3.686</v>
      </c>
      <c r="G54" s="267">
        <f>+'Cash-Flow-2023-Leva'!G54/1000</f>
        <v>5.031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3.686</v>
      </c>
      <c r="P54" s="384">
        <f t="shared" si="5"/>
        <v>5.031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0</v>
      </c>
      <c r="G55" s="267">
        <f>+'Cash-Flow-2023-Leva'!G55/1000</f>
        <v>0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0</v>
      </c>
      <c r="P55" s="384">
        <f t="shared" si="5"/>
        <v>0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0</v>
      </c>
      <c r="G56" s="267">
        <f>+'Cash-Flow-2023-Leva'!G56/1000</f>
        <v>0</v>
      </c>
      <c r="H56" s="277"/>
      <c r="I56" s="268">
        <f>+'Cash-Flow-2023-Leva'!I56/1000</f>
        <v>0</v>
      </c>
      <c r="J56" s="267">
        <f>+'Cash-Flow-2023-Leva'!J56/1000</f>
        <v>0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0</v>
      </c>
      <c r="P56" s="384">
        <f t="shared" si="5"/>
        <v>0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0</v>
      </c>
      <c r="G57" s="267">
        <f>+'Cash-Flow-2023-Leva'!G57/1000</f>
        <v>0</v>
      </c>
      <c r="H57" s="277"/>
      <c r="I57" s="268">
        <f>+'Cash-Flow-2023-Leva'!I57/1000</f>
        <v>0</v>
      </c>
      <c r="J57" s="267">
        <f>+'Cash-Flow-2023-Leva'!J57/1000</f>
        <v>0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0</v>
      </c>
      <c r="P57" s="384">
        <f t="shared" si="5"/>
        <v>0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3.686</v>
      </c>
      <c r="G58" s="261">
        <f>+SUM(G53:G57)</f>
        <v>5.031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3.686</v>
      </c>
      <c r="P58" s="382">
        <f>+SUM(P53:P57)</f>
        <v>5.031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0</v>
      </c>
      <c r="G61" s="267">
        <f>+'Cash-Flow-2023-Leva'!G61/1000</f>
        <v>0</v>
      </c>
      <c r="H61" s="277"/>
      <c r="I61" s="268">
        <f>+'Cash-Flow-2023-Leva'!I61/1000</f>
        <v>0</v>
      </c>
      <c r="J61" s="267">
        <f>+'Cash-Flow-2023-Leva'!J61/1000</f>
        <v>0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0</v>
      </c>
      <c r="P61" s="384">
        <f t="shared" si="6"/>
        <v>0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</v>
      </c>
      <c r="G62" s="267">
        <f>+'Cash-Flow-2023-Leva'!G62/1000</f>
        <v>0</v>
      </c>
      <c r="H62" s="277"/>
      <c r="I62" s="268">
        <f>+'Cash-Flow-2023-Leva'!I62/1000</f>
        <v>0</v>
      </c>
      <c r="J62" s="267">
        <f>+'Cash-Flow-2023-Leva'!J62/1000</f>
        <v>0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0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</v>
      </c>
      <c r="G65" s="261">
        <f>+SUM(G60:G63)</f>
        <v>0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0</v>
      </c>
      <c r="P65" s="382">
        <f>+SUM(P60:P63)</f>
        <v>0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63773.588</v>
      </c>
      <c r="G71" s="228">
        <f>+'Cash-Flow-2023-Leva'!G71/1000</f>
        <v>69681.668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63773.588</v>
      </c>
      <c r="P71" s="359">
        <f>+G71+J71+M71</f>
        <v>69681.668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63773.588</v>
      </c>
      <c r="G73" s="261">
        <f>+SUM(G71:G72)</f>
        <v>69681.668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63773.588</v>
      </c>
      <c r="P73" s="382">
        <f>+SUM(P71:P72)</f>
        <v>69681.668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63777.274000000005</v>
      </c>
      <c r="G79" s="272">
        <f>+G58+G65+G69+G73+G77</f>
        <v>69686.69900000001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63777.274000000005</v>
      </c>
      <c r="P79" s="392">
        <f>+P58+P65+P69+P73+P77</f>
        <v>69686.69900000001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0</v>
      </c>
      <c r="G81" s="255">
        <f>+'Cash-Flow-2023-Leva'!G81/1000</f>
        <v>0</v>
      </c>
      <c r="H81" s="277"/>
      <c r="I81" s="256">
        <f>+'Cash-Flow-2023-Leva'!I81/1000</f>
        <v>0</v>
      </c>
      <c r="J81" s="255">
        <f>+'Cash-Flow-2023-Leva'!J81/1000</f>
        <v>0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0</v>
      </c>
      <c r="P81" s="378">
        <f>+G81+J81+M81</f>
        <v>0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0</v>
      </c>
      <c r="G83" s="270">
        <f>+G81+G82</f>
        <v>0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0</v>
      </c>
      <c r="P83" s="387">
        <f>+P81+P82</f>
        <v>0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1"/>
      <c r="D84" s="821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11886.507999999987</v>
      </c>
      <c r="G85" s="291">
        <f>+G50-G79+G83</f>
        <v>28364.776999999987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11886.507999999987</v>
      </c>
      <c r="P85" s="389">
        <f>+P50-P79+P83</f>
        <v>28364.776999999987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-11886.508000000002</v>
      </c>
      <c r="G86" s="293">
        <f>+G103+G122+G129-G134</f>
        <v>-28364.77699999998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-11886.508000000002</v>
      </c>
      <c r="P86" s="391">
        <f>+P103+P122+P129-P134</f>
        <v>-28364.77699999998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18430.172</v>
      </c>
      <c r="G99" s="255">
        <f>+'Cash-Flow-2023-Leva'!G99/1000</f>
        <v>25156.6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18430.172</v>
      </c>
      <c r="P99" s="378">
        <f>+G99+J99+M99</f>
        <v>25156.6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0</v>
      </c>
      <c r="G100" s="267">
        <f>+'Cash-Flow-2023-Leva'!G100/1000</f>
        <v>0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18430.172</v>
      </c>
      <c r="G101" s="235">
        <f>+SUM(G99:G100)</f>
        <v>25156.6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18430.172</v>
      </c>
      <c r="P101" s="363">
        <f>+SUM(P99:P100)</f>
        <v>25156.6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18430.172</v>
      </c>
      <c r="G103" s="257">
        <f>+G91+G97+G101</f>
        <v>25156.6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18430.172</v>
      </c>
      <c r="P103" s="380">
        <f>+P91+P97+P101</f>
        <v>25156.6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0</v>
      </c>
      <c r="M118" s="228">
        <f>+'Cash-Flow-2023-Leva'!M118/1000</f>
        <v>0</v>
      </c>
      <c r="N118" s="463"/>
      <c r="O118" s="366">
        <f>+F118+I118+L118</f>
        <v>0</v>
      </c>
      <c r="P118" s="359">
        <f>+G118+J118+M118</f>
        <v>0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</v>
      </c>
      <c r="M120" s="261">
        <f>+SUM(M118:M119)</f>
        <v>0</v>
      </c>
      <c r="N120" s="463"/>
      <c r="O120" s="381">
        <f>+SUM(O118:O119)</f>
        <v>0</v>
      </c>
      <c r="P120" s="382">
        <f>+SUM(P118:P119)</f>
        <v>0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</v>
      </c>
      <c r="M122" s="272">
        <f>+M108+M112+M116+M120</f>
        <v>0</v>
      </c>
      <c r="N122" s="463"/>
      <c r="O122" s="385">
        <f>+O108+O112+O116+O120</f>
        <v>0</v>
      </c>
      <c r="P122" s="392">
        <f>+P108+P112+P116+P120</f>
        <v>0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-6285.713</v>
      </c>
      <c r="G125" s="267">
        <f>+'Cash-Flow-2023-Leva'!G125/1000</f>
        <v>-949.285</v>
      </c>
      <c r="H125" s="277"/>
      <c r="I125" s="268">
        <f>+'Cash-Flow-2023-Leva'!I125/1000</f>
        <v>0</v>
      </c>
      <c r="J125" s="267">
        <f>+'Cash-Flow-2023-Leva'!J125/1000</f>
        <v>0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-6285.713</v>
      </c>
      <c r="P125" s="384">
        <f t="shared" si="8"/>
        <v>-949.285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-1627.38</v>
      </c>
      <c r="G126" s="267">
        <f>+'Cash-Flow-2023-Leva'!G126/1000</f>
        <v>-101.541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-1627.38</v>
      </c>
      <c r="P126" s="384">
        <f t="shared" si="8"/>
        <v>-101.541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-7913.093</v>
      </c>
      <c r="G129" s="270">
        <f>+SUM(G124,G125,G126,G128)</f>
        <v>-1050.826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-7913.093</v>
      </c>
      <c r="P129" s="387">
        <f>+SUM(P124,P125,P126,P128)</f>
        <v>-1050.826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462756.331</v>
      </c>
      <c r="G131" s="255">
        <f>+'Cash-Flow-2023-Leva'!G131/1000</f>
        <v>410285.78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0</v>
      </c>
      <c r="M131" s="255">
        <f>+'Cash-Flow-2023-Leva'!M131/1000</f>
        <v>0</v>
      </c>
      <c r="N131" s="463"/>
      <c r="O131" s="365">
        <f aca="true" t="shared" si="9" ref="O131:P133">+F131+I131+L131</f>
        <v>462756.331</v>
      </c>
      <c r="P131" s="378">
        <f t="shared" si="9"/>
        <v>410285.78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485159.918</v>
      </c>
      <c r="G133" s="267">
        <f>+'Cash-Flow-2023-Leva'!G133/1000</f>
        <v>462756.331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0</v>
      </c>
      <c r="M133" s="267">
        <f>+'Cash-Flow-2023-Leva'!M133/1000</f>
        <v>0</v>
      </c>
      <c r="N133" s="463"/>
      <c r="O133" s="361">
        <f t="shared" si="9"/>
        <v>485159.918</v>
      </c>
      <c r="P133" s="384">
        <f t="shared" si="9"/>
        <v>462756.331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22403.587</v>
      </c>
      <c r="G134" s="275">
        <f>+G133-G131-G132</f>
        <v>52470.55099999998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</v>
      </c>
      <c r="M134" s="275">
        <f>+M133-M131-M132</f>
        <v>0</v>
      </c>
      <c r="N134" s="463"/>
      <c r="O134" s="394">
        <f>+O133-O131-O132</f>
        <v>22403.587</v>
      </c>
      <c r="P134" s="395">
        <f>+P133-P131-P132</f>
        <v>52470.55099999998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0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0"/>
      <c r="D135" s="820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22403.587</v>
      </c>
      <c r="G142" s="275">
        <f>+G134+G140</f>
        <v>52470.55099999998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0</v>
      </c>
      <c r="M142" s="537">
        <f>+M134+M140</f>
        <v>0</v>
      </c>
      <c r="N142" s="463"/>
      <c r="O142" s="549">
        <f>+O134+O140</f>
        <v>22403.587</v>
      </c>
      <c r="P142" s="550">
        <f>+P134+P140</f>
        <v>52470.55099999998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31102023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Олга В. Георгиева</cp:lastModifiedBy>
  <cp:lastPrinted>2020-03-18T16:57:49Z</cp:lastPrinted>
  <dcterms:created xsi:type="dcterms:W3CDTF">2015-12-01T07:17:04Z</dcterms:created>
  <dcterms:modified xsi:type="dcterms:W3CDTF">2023-10-27T13:23:53Z</dcterms:modified>
  <cp:category/>
  <cp:version/>
  <cp:contentType/>
  <cp:contentStatus/>
</cp:coreProperties>
</file>