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'Cash-Flow-2022'!$B$1:$P$148</definedName>
    <definedName name="_xlnm.Print_Area" localSheetId="1">'Cash-Flow-2022-Leva'!$B$1:$P$148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<sst xmlns="http://schemas.openxmlformats.org/spreadsheetml/2006/main" count="674" uniqueCount="464">
  <si>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</si>
  <si>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</si>
  <si>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</si>
  <si>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</si>
  <si>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</si>
  <si>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</si>
  <si>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</si>
  <si>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</si>
  <si>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</si>
  <si>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</si>
  <si>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</si>
  <si>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</si>
  <si>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</si>
  <si>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</si>
  <si>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</si>
  <si>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</si>
  <si>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</si>
  <si>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</si>
  <si>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</si>
  <si>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</si>
  <si>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</si>
  <si>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</si>
  <si>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</si>
  <si>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</si>
  <si>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</si>
  <si>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</si>
  <si>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</si>
  <si>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</si>
  <si>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</si>
  <si>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</si>
  <si>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</si>
  <si>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</si>
  <si>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</si>
  <si>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</si>
  <si>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</si>
  <si>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</si>
  <si>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</si>
  <si>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</si>
  <si>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</si>
  <si>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</si>
  <si>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</si>
  <si>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</si>
  <si>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</si>
  <si>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</si>
  <si>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</si>
  <si>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</si>
  <si>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</si>
  <si>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</si>
  <si>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</si>
  <si>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</si>
  <si>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</si>
  <si>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</si>
  <si>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</si>
  <si>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</si>
  <si>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</si>
  <si>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</si>
  <si>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</si>
  <si>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</si>
  <si>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</si>
  <si>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</si>
  <si>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</si>
  <si>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</si>
  <si>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</si>
  <si>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</si>
  <si>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</si>
  <si>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</si>
  <si>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</si>
  <si>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</si>
  <si>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</si>
  <si>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</si>
  <si>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</si>
  <si>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</si>
  <si>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</si>
  <si>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</si>
  <si>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</si>
  <si>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</si>
  <si>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</si>
  <si>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</si>
  <si>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</si>
  <si>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</si>
  <si>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</si>
  <si>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</si>
  <si>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</si>
  <si>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</si>
  <si>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</si>
  <si>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</si>
  <si>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</si>
  <si>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</si>
  <si>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</si>
  <si>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</si>
  <si>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</si>
  <si>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</si>
  <si>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</si>
  <si>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</si>
  <si>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</si>
  <si>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</si>
  <si>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</si>
  <si>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</si>
  <si>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</si>
  <si>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</si>
  <si>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</si>
  <si>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</si>
  <si>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</si>
  <si>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</si>
  <si>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</si>
  <si>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</si>
  <si>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</si>
  <si>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</si>
  <si>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</si>
  <si>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</si>
  <si>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</si>
  <si>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</si>
  <si>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</si>
  <si>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</si>
  <si>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</si>
  <si>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</si>
  <si>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</si>
  <si>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</si>
  <si>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</si>
  <si>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</si>
  <si>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</si>
  <si>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</si>
  <si>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</si>
  <si>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</si>
  <si>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</si>
  <si>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</si>
  <si>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</si>
  <si>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</si>
  <si>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</si>
  <si>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</si>
  <si>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</si>
  <si>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</si>
  <si>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</si>
  <si>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</si>
  <si>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</si>
  <si>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</si>
  <si>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</si>
  <si>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</si>
  <si>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</si>
  <si>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</si>
  <si>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</si>
  <si>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</si>
  <si>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</si>
  <si>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</si>
  <si>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</si>
  <si>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</si>
  <si>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</si>
  <si>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</si>
  <si>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</si>
  <si>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</si>
  <si>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</si>
  <si>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</si>
  <si>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</si>
  <si>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</si>
  <si>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</si>
  <si>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</si>
  <si>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</si>
  <si>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</si>
  <si>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</si>
  <si>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</si>
  <si>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</si>
  <si>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</si>
  <si>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</si>
  <si>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</si>
  <si>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</si>
  <si>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</si>
  <si>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</si>
  <si>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</si>
  <si>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</si>
  <si>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</si>
  <si>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</si>
  <si>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</si>
  <si>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</si>
  <si>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</si>
  <si>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</si>
  <si>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</si>
  <si>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</si>
  <si>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</si>
  <si>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</si>
  <si>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</si>
  <si>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</si>
  <si>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</si>
  <si>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</si>
  <si>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</si>
  <si>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</si>
  <si>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</si>
  <si>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</si>
  <si>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</si>
  <si>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</si>
  <si>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</si>
  <si>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</si>
  <si>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</si>
  <si>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</si>
  <si>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</si>
  <si>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</si>
  <si>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</si>
  <si>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</si>
  <si>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</si>
  <si>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</si>
  <si>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</si>
  <si>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</si>
  <si>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</si>
  <si>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</si>
  <si>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</si>
  <si>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</si>
  <si>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</si>
  <si>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</si>
  <si>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</si>
  <si>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</si>
  <si>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</si>
  <si>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</si>
  <si>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</si>
  <si>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</si>
  <si>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</si>
  <si>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</si>
  <si>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</si>
  <si>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</si>
  <si>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</si>
  <si>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</si>
  <si>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</si>
  <si>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</si>
  <si>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</si>
  <si>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</si>
  <si>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</si>
  <si>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</si>
  <si>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</si>
  <si>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</si>
  <si>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</si>
  <si>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</si>
  <si>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</si>
  <si>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</si>
  <si>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</si>
  <si>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</si>
  <si>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</si>
  <si>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</si>
  <si>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</si>
  <si>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</si>
  <si>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</si>
  <si>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</si>
  <si>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</si>
  <si>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</si>
  <si>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</si>
  <si>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</si>
  <si>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</si>
  <si>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</si>
  <si>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</si>
  <si>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</si>
  <si>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</si>
  <si>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</si>
  <si>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</si>
  <si>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</si>
  <si>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</si>
  <si>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</si>
  <si>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</si>
  <si>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</si>
  <si>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</si>
  <si>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</si>
  <si>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</si>
  <si>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</si>
  <si>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</si>
  <si>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</si>
  <si>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</si>
  <si>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</si>
  <si>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</si>
  <si>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</si>
  <si>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</si>
  <si>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</si>
  <si>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</si>
  <si>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</si>
  <si>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</si>
  <si>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</si>
  <si>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</si>
  <si>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</si>
  <si>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</si>
  <si>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</si>
  <si>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</si>
  <si>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</si>
  <si>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</si>
  <si>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</si>
  <si>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</si>
  <si>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</si>
  <si>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</si>
  <si>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</si>
  <si>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</si>
  <si>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</si>
  <si>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</si>
  <si>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</si>
  <si>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</si>
  <si>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</si>
  <si>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</si>
  <si>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</si>
  <si>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</si>
  <si>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</si>
  <si>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</si>
  <si>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</si>
  <si>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</si>
  <si>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</si>
  <si>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</si>
  <si>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</si>
  <si>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</si>
  <si>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</si>
  <si>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</si>
  <si>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</si>
  <si>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</si>
  <si>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</si>
  <si>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</si>
  <si>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</si>
  <si>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</si>
  <si>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</si>
  <si>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</si>
  <si>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</si>
  <si>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</si>
  <si>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</si>
  <si>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</si>
  <si>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</si>
  <si>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</si>
  <si>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</si>
  <si>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</si>
  <si>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</si>
  <si>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</si>
  <si>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</si>
  <si>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</si>
  <si>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</si>
  <si>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</si>
  <si>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</si>
  <si>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</si>
  <si>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</si>
  <si>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</si>
  <si>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</si>
  <si>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</si>
  <si>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</si>
  <si>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</si>
  <si>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</si>
  <si>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</si>
  <si>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</si>
  <si>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</si>
  <si>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</si>
  <si>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</si>
  <si>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</si>
  <si>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</si>
  <si>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</si>
  <si>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</si>
  <si>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</si>
  <si>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</si>
  <si>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</si>
  <si>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</si>
  <si>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</si>
  <si>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</si>
  <si>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</si>
  <si>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</si>
  <si>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</si>
  <si>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</si>
  <si>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</si>
  <si>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</si>
  <si>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</si>
  <si>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</si>
  <si>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</si>
  <si>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</si>
  <si>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</si>
  <si>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</si>
  <si>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</si>
  <si>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</si>
  <si>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</si>
  <si>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</si>
  <si>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</si>
  <si>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</si>
  <si>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</si>
  <si>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</si>
  <si>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</si>
  <si>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</si>
  <si>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</si>
  <si>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</si>
  <si>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</si>
  <si>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</si>
  <si>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</si>
  <si>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</si>
  <si>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</si>
  <si>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</si>
  <si>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</si>
  <si>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</si>
  <si>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</si>
  <si>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</si>
  <si>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</si>
  <si>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</si>
  <si>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</si>
  <si>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</si>
  <si>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</si>
  <si>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</si>
  <si>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</si>
  <si>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</si>
  <si>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</si>
  <si>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</si>
  <si>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</si>
  <si>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</si>
  <si>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</si>
  <si>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</si>
  <si>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</si>
  <si>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</si>
  <si>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</si>
  <si>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</si>
  <si>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</si>
  <si>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</si>
  <si>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</si>
  <si>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</si>
  <si>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</si>
  <si>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</si>
  <si>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</si>
  <si>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</si>
  <si>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</si>
  <si>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</si>
  <si>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</si>
  <si>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</si>
  <si>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</si>
  <si>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</si>
  <si>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</si>
  <si>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</si>
  <si>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</si>
  <si>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</si>
  <si>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</si>
  <si>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</si>
  <si>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</si>
  <si>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</si>
  <si>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</si>
  <si>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</si>
  <si>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</si>
  <si>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</si>
  <si>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</si>
  <si>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</si>
  <si>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</si>
  <si>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</si>
  <si>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</si>
  <si>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</si>
  <si>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</si>
  <si>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</si>
  <si>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</si>
  <si>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</si>
  <si>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</si>
  <si>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</si>
  <si>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</si>
  <si>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</si>
  <si>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</si>
  <si>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</si>
  <si>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</si>
  <si>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</si>
  <si>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</si>
  <si>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</si>
  <si>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</si>
  <si>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</si>
  <si>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</si>
  <si>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</si>
  <si>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</si>
  <si>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</si>
  <si>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</si>
  <si>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</si>
  <si>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</si>
  <si>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</si>
  <si>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</si>
  <si>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</si>
  <si>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</si>
  <si>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</si>
  <si>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НОИ-ФОНД ГВРС</t>
  </si>
  <si>
    <t>Vanya.Borisova@nssi.bg</t>
  </si>
  <si>
    <t>Ваня Борисова</t>
  </si>
  <si>
    <t>Димитър Недялков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</si>
</sst>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29" borderId="0" applyNumberFormat="0" applyBorder="0" applyAlignment="0" applyProtection="0"/>
    <xf numFmtId="0" fontId="144" fillId="0" borderId="3" applyNumberFormat="0" applyFill="0" applyAlignment="0" applyProtection="0"/>
    <xf numFmtId="0" fontId="145" fillId="0" borderId="4" applyNumberFormat="0" applyFill="0" applyAlignment="0" applyProtection="0"/>
    <xf numFmtId="0" fontId="146" fillId="0" borderId="5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30" borderId="1" applyNumberFormat="0" applyAlignment="0" applyProtection="0"/>
    <xf numFmtId="0" fontId="149" fillId="0" borderId="6" applyNumberFormat="0" applyFill="0" applyAlignment="0" applyProtection="0"/>
    <xf numFmtId="0" fontId="15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5" fillId="32" borderId="0" xfId="62" applyFont="1" applyFill="1" applyAlignment="1" applyProtection="1">
      <alignment horizontal="right"/>
      <protection/>
    </xf>
    <xf numFmtId="0" fontId="156" fillId="32" borderId="0" xfId="62" applyFont="1" applyFill="1" applyBorder="1" applyAlignment="1" applyProtection="1">
      <alignment horizontal="center"/>
      <protection/>
    </xf>
    <xf numFmtId="174" fontId="157" fillId="32" borderId="0" xfId="65" applyNumberFormat="1" applyFont="1" applyFill="1" applyAlignment="1" applyProtection="1">
      <alignment/>
      <protection/>
    </xf>
    <xf numFmtId="0" fontId="158" fillId="32" borderId="0" xfId="57" applyFont="1" applyFill="1" applyAlignment="1" applyProtection="1" quotePrefix="1">
      <alignment/>
      <protection/>
    </xf>
    <xf numFmtId="0" fontId="157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9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7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0" fontId="160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61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5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7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62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5" applyNumberFormat="1" applyFont="1" applyFill="1" applyAlignment="1" applyProtection="1">
      <alignment/>
      <protection/>
    </xf>
    <xf numFmtId="182" fontId="14" fillId="37" borderId="0" xfId="64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63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61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5" fillId="32" borderId="27" xfId="0" applyNumberFormat="1" applyFont="1" applyFill="1" applyBorder="1" applyAlignment="1" applyProtection="1">
      <alignment horizontal="center"/>
      <protection/>
    </xf>
    <xf numFmtId="174" fontId="12" fillId="32" borderId="27" xfId="0" applyNumberFormat="1" applyFont="1" applyFill="1" applyBorder="1" applyAlignment="1" applyProtection="1">
      <alignment horizontal="center"/>
      <protection/>
    </xf>
    <xf numFmtId="174" fontId="35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64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54" xfId="65" applyNumberFormat="1" applyFont="1" applyFill="1" applyBorder="1" applyAlignment="1" applyProtection="1">
      <alignment/>
      <protection/>
    </xf>
    <xf numFmtId="38" fontId="24" fillId="43" borderId="47" xfId="65" applyNumberFormat="1" applyFont="1" applyFill="1" applyBorder="1" applyAlignment="1" applyProtection="1">
      <alignment/>
      <protection/>
    </xf>
    <xf numFmtId="38" fontId="24" fillId="43" borderId="48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4" fillId="43" borderId="43" xfId="65" applyNumberFormat="1" applyFont="1" applyFill="1" applyBorder="1" applyAlignment="1" applyProtection="1">
      <alignment/>
      <protection/>
    </xf>
    <xf numFmtId="38" fontId="24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3" fontId="165" fillId="33" borderId="27" xfId="0" applyNumberFormat="1" applyFont="1" applyFill="1" applyBorder="1" applyAlignment="1" applyProtection="1">
      <alignment horizontal="center"/>
      <protection locked="0"/>
    </xf>
    <xf numFmtId="183" fontId="165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9" xfId="65" applyNumberFormat="1" applyFont="1" applyFill="1" applyBorder="1" applyAlignment="1" applyProtection="1">
      <alignment/>
      <protection/>
    </xf>
    <xf numFmtId="38" fontId="24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6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5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5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5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5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5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5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5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5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7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4" fillId="43" borderId="42" xfId="65" applyNumberFormat="1" applyFont="1" applyFill="1" applyBorder="1" applyAlignment="1" applyProtection="1">
      <alignment horizontal="center"/>
      <protection/>
    </xf>
    <xf numFmtId="38" fontId="24" fillId="43" borderId="43" xfId="65" applyNumberFormat="1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4" fontId="5" fillId="39" borderId="66" xfId="60" applyNumberFormat="1" applyFont="1" applyFill="1" applyBorder="1" applyAlignment="1" applyProtection="1">
      <alignment horizontal="left"/>
      <protection/>
    </xf>
    <xf numFmtId="174" fontId="5" fillId="39" borderId="38" xfId="60" applyNumberFormat="1" applyFont="1" applyFill="1" applyBorder="1" applyAlignment="1" applyProtection="1">
      <alignment horizontal="left"/>
      <protection/>
    </xf>
    <xf numFmtId="174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8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6" fillId="32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0" fontId="169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32" borderId="82" xfId="0" applyNumberFormat="1" applyFont="1" applyFill="1" applyBorder="1" applyAlignment="1" applyProtection="1">
      <alignment/>
      <protection/>
    </xf>
    <xf numFmtId="184" fontId="3" fillId="32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62" fillId="39" borderId="102" xfId="0" applyNumberFormat="1" applyFont="1" applyFill="1" applyBorder="1" applyAlignment="1" applyProtection="1" quotePrefix="1">
      <alignment horizontal="center"/>
      <protection/>
    </xf>
    <xf numFmtId="191" fontId="168" fillId="41" borderId="102" xfId="0" applyNumberFormat="1" applyFont="1" applyFill="1" applyBorder="1" applyAlignment="1" applyProtection="1" quotePrefix="1">
      <alignment horizontal="center"/>
      <protection/>
    </xf>
    <xf numFmtId="191" fontId="169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25" fillId="38" borderId="105" xfId="0" applyNumberFormat="1" applyFont="1" applyFill="1" applyBorder="1" applyAlignment="1" applyProtection="1">
      <alignment horizontal="center"/>
      <protection/>
    </xf>
    <xf numFmtId="182" fontId="170" fillId="38" borderId="104" xfId="0" applyNumberFormat="1" applyFont="1" applyFill="1" applyBorder="1" applyAlignment="1" applyProtection="1">
      <alignment horizontal="center"/>
      <protection/>
    </xf>
    <xf numFmtId="182" fontId="170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5" fillId="33" borderId="56" xfId="0" applyNumberFormat="1" applyFont="1" applyFill="1" applyBorder="1" applyAlignment="1" applyProtection="1">
      <alignment/>
      <protection/>
    </xf>
    <xf numFmtId="0" fontId="55" fillId="33" borderId="56" xfId="0" applyFont="1" applyFill="1" applyBorder="1" applyAlignment="1" applyProtection="1">
      <alignment/>
      <protection/>
    </xf>
    <xf numFmtId="174" fontId="171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5" fillId="43" borderId="108" xfId="0" applyNumberFormat="1" applyFont="1" applyFill="1" applyBorder="1" applyAlignment="1" applyProtection="1">
      <alignment/>
      <protection/>
    </xf>
    <xf numFmtId="184" fontId="35" fillId="43" borderId="92" xfId="0" applyNumberFormat="1" applyFont="1" applyFill="1" applyBorder="1" applyAlignment="1" applyProtection="1">
      <alignment/>
      <protection/>
    </xf>
    <xf numFmtId="184" fontId="35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5" fillId="43" borderId="111" xfId="0" applyNumberFormat="1" applyFont="1" applyFill="1" applyBorder="1" applyAlignment="1" applyProtection="1">
      <alignment/>
      <protection/>
    </xf>
    <xf numFmtId="184" fontId="12" fillId="43" borderId="110" xfId="60" applyNumberFormat="1" applyFont="1" applyFill="1" applyBorder="1" applyAlignment="1" applyProtection="1">
      <alignment/>
      <protection/>
    </xf>
    <xf numFmtId="0" fontId="172" fillId="48" borderId="0" xfId="61" applyFont="1" applyFill="1" applyBorder="1" applyAlignment="1" applyProtection="1">
      <alignment horizontal="center"/>
      <protection/>
    </xf>
    <xf numFmtId="174" fontId="171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5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73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3" fillId="35" borderId="0" xfId="64" applyFont="1" applyFill="1" applyBorder="1" applyAlignment="1" applyProtection="1">
      <alignment/>
      <protection/>
    </xf>
    <xf numFmtId="0" fontId="172" fillId="33" borderId="0" xfId="61" applyFont="1" applyFill="1" applyBorder="1" applyAlignment="1" applyProtection="1">
      <alignment horizontal="center"/>
      <protection/>
    </xf>
    <xf numFmtId="172" fontId="59" fillId="50" borderId="27" xfId="64" applyNumberFormat="1" applyFont="1" applyFill="1" applyBorder="1" applyAlignment="1" applyProtection="1">
      <alignment horizontal="center" vertical="center"/>
      <protection locked="0"/>
    </xf>
    <xf numFmtId="174" fontId="158" fillId="32" borderId="0" xfId="65" applyNumberFormat="1" applyFont="1" applyFill="1" applyAlignment="1" applyProtection="1">
      <alignment/>
      <protection/>
    </xf>
    <xf numFmtId="0" fontId="157" fillId="35" borderId="0" xfId="64" applyFont="1" applyFill="1" applyBorder="1" applyProtection="1">
      <alignment/>
      <protection/>
    </xf>
    <xf numFmtId="0" fontId="174" fillId="35" borderId="0" xfId="64" applyFont="1" applyFill="1" applyBorder="1" applyProtection="1">
      <alignment/>
      <protection/>
    </xf>
    <xf numFmtId="0" fontId="174" fillId="35" borderId="0" xfId="64" applyFont="1" applyFill="1" applyProtection="1">
      <alignment/>
      <protection/>
    </xf>
    <xf numFmtId="180" fontId="175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2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4" fontId="8" fillId="33" borderId="0" xfId="65" applyNumberFormat="1" applyFont="1" applyFill="1" applyAlignment="1" applyProtection="1">
      <alignment/>
      <protection/>
    </xf>
    <xf numFmtId="0" fontId="61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2" fontId="176" fillId="33" borderId="27" xfId="64" applyNumberFormat="1" applyFont="1" applyFill="1" applyBorder="1" applyAlignment="1" applyProtection="1">
      <alignment horizontal="center" vertical="center"/>
      <protection/>
    </xf>
    <xf numFmtId="172" fontId="177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32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8" fillId="33" borderId="71" xfId="0" applyNumberFormat="1" applyFont="1" applyFill="1" applyBorder="1" applyAlignment="1" applyProtection="1" quotePrefix="1">
      <alignment/>
      <protection/>
    </xf>
    <xf numFmtId="174" fontId="179" fillId="33" borderId="71" xfId="0" applyNumberFormat="1" applyFont="1" applyFill="1" applyBorder="1" applyAlignment="1" applyProtection="1" quotePrefix="1">
      <alignment/>
      <protection/>
    </xf>
    <xf numFmtId="174" fontId="178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8" fillId="33" borderId="116" xfId="0" applyNumberFormat="1" applyFont="1" applyFill="1" applyBorder="1" applyAlignment="1" applyProtection="1" quotePrefix="1">
      <alignment/>
      <protection/>
    </xf>
    <xf numFmtId="174" fontId="178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8" fillId="32" borderId="116" xfId="0" applyNumberFormat="1" applyFont="1" applyFill="1" applyBorder="1" applyAlignment="1" applyProtection="1" quotePrefix="1">
      <alignment/>
      <protection/>
    </xf>
    <xf numFmtId="174" fontId="179" fillId="32" borderId="32" xfId="0" applyNumberFormat="1" applyFont="1" applyFill="1" applyBorder="1" applyAlignment="1" applyProtection="1" quotePrefix="1">
      <alignment/>
      <protection/>
    </xf>
    <xf numFmtId="174" fontId="178" fillId="33" borderId="86" xfId="0" applyNumberFormat="1" applyFont="1" applyFill="1" applyBorder="1" applyAlignment="1" applyProtection="1" quotePrefix="1">
      <alignment/>
      <protection/>
    </xf>
    <xf numFmtId="174" fontId="179" fillId="33" borderId="87" xfId="0" applyNumberFormat="1" applyFont="1" applyFill="1" applyBorder="1" applyAlignment="1" applyProtection="1" quotePrefix="1">
      <alignment/>
      <protection/>
    </xf>
    <xf numFmtId="174" fontId="179" fillId="33" borderId="32" xfId="0" applyNumberFormat="1" applyFont="1" applyFill="1" applyBorder="1" applyAlignment="1" applyProtection="1" quotePrefix="1">
      <alignment/>
      <protection/>
    </xf>
    <xf numFmtId="0" fontId="36" fillId="33" borderId="117" xfId="64" applyFont="1" applyFill="1" applyBorder="1" applyProtection="1">
      <alignment/>
      <protection/>
    </xf>
    <xf numFmtId="0" fontId="36" fillId="33" borderId="43" xfId="64" applyFont="1" applyFill="1" applyBorder="1" applyProtection="1">
      <alignment/>
      <protection/>
    </xf>
    <xf numFmtId="0" fontId="36" fillId="33" borderId="29" xfId="64" applyFont="1" applyFill="1" applyBorder="1" applyProtection="1">
      <alignment/>
      <protection/>
    </xf>
    <xf numFmtId="182" fontId="40" fillId="51" borderId="118" xfId="0" applyNumberFormat="1" applyFont="1" applyFill="1" applyBorder="1" applyAlignment="1" applyProtection="1">
      <alignment horizontal="center"/>
      <protection/>
    </xf>
    <xf numFmtId="182" fontId="41" fillId="42" borderId="118" xfId="0" applyNumberFormat="1" applyFont="1" applyFill="1" applyBorder="1" applyAlignment="1" applyProtection="1">
      <alignment horizontal="center"/>
      <protection/>
    </xf>
    <xf numFmtId="182" fontId="180" fillId="51" borderId="118" xfId="0" applyNumberFormat="1" applyFont="1" applyFill="1" applyBorder="1" applyAlignment="1" applyProtection="1">
      <alignment horizontal="center"/>
      <protection/>
    </xf>
    <xf numFmtId="182" fontId="181" fillId="42" borderId="118" xfId="0" applyNumberFormat="1" applyFont="1" applyFill="1" applyBorder="1" applyAlignment="1" applyProtection="1">
      <alignment horizontal="center"/>
      <protection/>
    </xf>
    <xf numFmtId="182" fontId="40" fillId="52" borderId="118" xfId="0" applyNumberFormat="1" applyFont="1" applyFill="1" applyBorder="1" applyAlignment="1" applyProtection="1">
      <alignment horizontal="center"/>
      <protection/>
    </xf>
    <xf numFmtId="182" fontId="41" fillId="52" borderId="118" xfId="0" applyNumberFormat="1" applyFont="1" applyFill="1" applyBorder="1" applyAlignment="1" applyProtection="1">
      <alignment horizontal="center"/>
      <protection/>
    </xf>
    <xf numFmtId="182" fontId="182" fillId="52" borderId="118" xfId="0" applyNumberFormat="1" applyFont="1" applyFill="1" applyBorder="1" applyAlignment="1" applyProtection="1">
      <alignment horizontal="center"/>
      <protection/>
    </xf>
    <xf numFmtId="182" fontId="181" fillId="52" borderId="118" xfId="0" applyNumberFormat="1" applyFont="1" applyFill="1" applyBorder="1" applyAlignment="1" applyProtection="1">
      <alignment horizontal="center"/>
      <protection/>
    </xf>
    <xf numFmtId="182" fontId="40" fillId="40" borderId="118" xfId="0" applyNumberFormat="1" applyFont="1" applyFill="1" applyBorder="1" applyAlignment="1" applyProtection="1">
      <alignment horizontal="center"/>
      <protection/>
    </xf>
    <xf numFmtId="182" fontId="41" fillId="40" borderId="118" xfId="0" applyNumberFormat="1" applyFont="1" applyFill="1" applyBorder="1" applyAlignment="1" applyProtection="1">
      <alignment horizontal="center"/>
      <protection/>
    </xf>
    <xf numFmtId="182" fontId="183" fillId="40" borderId="118" xfId="0" applyNumberFormat="1" applyFont="1" applyFill="1" applyBorder="1" applyAlignment="1" applyProtection="1">
      <alignment horizontal="center"/>
      <protection/>
    </xf>
    <xf numFmtId="182" fontId="184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25" fillId="38" borderId="120" xfId="0" applyNumberFormat="1" applyFont="1" applyFill="1" applyBorder="1" applyAlignment="1" applyProtection="1">
      <alignment horizontal="center"/>
      <protection/>
    </xf>
    <xf numFmtId="182" fontId="170" fillId="38" borderId="119" xfId="0" applyNumberFormat="1" applyFont="1" applyFill="1" applyBorder="1" applyAlignment="1" applyProtection="1">
      <alignment horizontal="center"/>
      <protection/>
    </xf>
    <xf numFmtId="182" fontId="170" fillId="38" borderId="120" xfId="0" applyNumberFormat="1" applyFont="1" applyFill="1" applyBorder="1" applyAlignment="1" applyProtection="1">
      <alignment horizontal="center"/>
      <protection/>
    </xf>
    <xf numFmtId="174" fontId="12" fillId="32" borderId="119" xfId="0" applyNumberFormat="1" applyFont="1" applyFill="1" applyBorder="1" applyAlignment="1" applyProtection="1">
      <alignment horizontal="center"/>
      <protection/>
    </xf>
    <xf numFmtId="174" fontId="35" fillId="32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5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5" fillId="43" borderId="42" xfId="65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5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5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5" fillId="43" borderId="10" xfId="0" applyNumberFormat="1" applyFont="1" applyFill="1" applyBorder="1" applyAlignment="1" applyProtection="1">
      <alignment/>
      <protection locked="0"/>
    </xf>
    <xf numFmtId="174" fontId="171" fillId="32" borderId="0" xfId="0" applyNumberFormat="1" applyFont="1" applyFill="1" applyBorder="1" applyAlignment="1" applyProtection="1" quotePrefix="1">
      <alignment horizontal="center"/>
      <protection/>
    </xf>
    <xf numFmtId="174" fontId="171" fillId="33" borderId="0" xfId="0" applyNumberFormat="1" applyFont="1" applyFill="1" applyBorder="1" applyAlignment="1" applyProtection="1" quotePrefix="1">
      <alignment horizontal="center"/>
      <protection/>
    </xf>
    <xf numFmtId="0" fontId="172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4" fontId="4" fillId="32" borderId="56" xfId="0" applyNumberFormat="1" applyFont="1" applyFill="1" applyBorder="1" applyAlignment="1" applyProtection="1">
      <alignment/>
      <protection/>
    </xf>
    <xf numFmtId="184" fontId="3" fillId="32" borderId="56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Border="1" applyAlignment="1" applyProtection="1">
      <alignment horizontal="right"/>
      <protection/>
    </xf>
    <xf numFmtId="184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4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7" fillId="38" borderId="0" xfId="57" applyFont="1" applyFill="1" applyBorder="1" quotePrefix="1">
      <alignment/>
      <protection/>
    </xf>
    <xf numFmtId="195" fontId="24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200" fontId="24" fillId="33" borderId="0" xfId="57" applyNumberFormat="1" applyFont="1" applyFill="1" applyBorder="1" applyAlignment="1">
      <alignment horizontal="center"/>
      <protection/>
    </xf>
    <xf numFmtId="0" fontId="157" fillId="32" borderId="68" xfId="57" applyFont="1" applyFill="1" applyBorder="1" quotePrefix="1">
      <alignment/>
      <protection/>
    </xf>
    <xf numFmtId="0" fontId="157" fillId="32" borderId="19" xfId="57" applyFont="1" applyFill="1" applyBorder="1" quotePrefix="1">
      <alignment/>
      <protection/>
    </xf>
    <xf numFmtId="197" fontId="24" fillId="32" borderId="69" xfId="58" applyNumberFormat="1" applyFont="1" applyFill="1" applyBorder="1" applyAlignment="1">
      <alignment/>
      <protection/>
    </xf>
    <xf numFmtId="0" fontId="157" fillId="32" borderId="17" xfId="57" applyFont="1" applyFill="1" applyBorder="1" quotePrefix="1">
      <alignment/>
      <protection/>
    </xf>
    <xf numFmtId="0" fontId="157" fillId="32" borderId="0" xfId="57" applyFont="1" applyFill="1" applyBorder="1" quotePrefix="1">
      <alignment/>
      <protection/>
    </xf>
    <xf numFmtId="197" fontId="24" fillId="32" borderId="18" xfId="58" applyNumberFormat="1" applyFont="1" applyFill="1" applyBorder="1" applyAlignment="1">
      <alignment/>
      <protection/>
    </xf>
    <xf numFmtId="0" fontId="157" fillId="32" borderId="26" xfId="57" applyFont="1" applyFill="1" applyBorder="1" quotePrefix="1">
      <alignment/>
      <protection/>
    </xf>
    <xf numFmtId="0" fontId="157" fillId="32" borderId="20" xfId="57" applyFont="1" applyFill="1" applyBorder="1" quotePrefix="1">
      <alignment/>
      <protection/>
    </xf>
    <xf numFmtId="197" fontId="24" fillId="32" borderId="21" xfId="58" applyNumberFormat="1" applyFont="1" applyFill="1" applyBorder="1" applyAlignment="1">
      <alignment/>
      <protection/>
    </xf>
    <xf numFmtId="0" fontId="157" fillId="45" borderId="68" xfId="57" applyFont="1" applyFill="1" applyBorder="1" quotePrefix="1">
      <alignment/>
      <protection/>
    </xf>
    <xf numFmtId="0" fontId="157" fillId="45" borderId="19" xfId="57" applyFont="1" applyFill="1" applyBorder="1" quotePrefix="1">
      <alignment/>
      <protection/>
    </xf>
    <xf numFmtId="197" fontId="24" fillId="45" borderId="69" xfId="58" applyNumberFormat="1" applyFont="1" applyFill="1" applyBorder="1" applyAlignment="1">
      <alignment/>
      <protection/>
    </xf>
    <xf numFmtId="0" fontId="157" fillId="45" borderId="17" xfId="57" applyFont="1" applyFill="1" applyBorder="1" quotePrefix="1">
      <alignment/>
      <protection/>
    </xf>
    <xf numFmtId="0" fontId="157" fillId="45" borderId="0" xfId="57" applyFont="1" applyFill="1" applyBorder="1" quotePrefix="1">
      <alignment/>
      <protection/>
    </xf>
    <xf numFmtId="197" fontId="24" fillId="45" borderId="18" xfId="58" applyNumberFormat="1" applyFont="1" applyFill="1" applyBorder="1" applyAlignment="1">
      <alignment/>
      <protection/>
    </xf>
    <xf numFmtId="0" fontId="157" fillId="45" borderId="26" xfId="57" applyFont="1" applyFill="1" applyBorder="1" quotePrefix="1">
      <alignment/>
      <protection/>
    </xf>
    <xf numFmtId="0" fontId="157" fillId="45" borderId="20" xfId="57" applyFont="1" applyFill="1" applyBorder="1" quotePrefix="1">
      <alignment/>
      <protection/>
    </xf>
    <xf numFmtId="197" fontId="24" fillId="45" borderId="21" xfId="58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0" fontId="186" fillId="39" borderId="27" xfId="0" applyNumberFormat="1" applyFont="1" applyFill="1" applyBorder="1" applyAlignment="1" applyProtection="1">
      <alignment horizontal="center"/>
      <protection/>
    </xf>
    <xf numFmtId="180" fontId="187" fillId="39" borderId="27" xfId="0" applyNumberFormat="1" applyFont="1" applyFill="1" applyBorder="1" applyAlignment="1" applyProtection="1">
      <alignment horizontal="center"/>
      <protection/>
    </xf>
    <xf numFmtId="191" fontId="162" fillId="39" borderId="27" xfId="0" applyNumberFormat="1" applyFont="1" applyFill="1" applyBorder="1" applyAlignment="1" applyProtection="1" quotePrefix="1">
      <alignment horizontal="center"/>
      <protection/>
    </xf>
    <xf numFmtId="179" fontId="163" fillId="41" borderId="27" xfId="0" applyNumberFormat="1" applyFont="1" applyFill="1" applyBorder="1" applyAlignment="1" applyProtection="1" quotePrefix="1">
      <alignment horizontal="center"/>
      <protection/>
    </xf>
    <xf numFmtId="191" fontId="168" fillId="41" borderId="27" xfId="0" applyNumberFormat="1" applyFont="1" applyFill="1" applyBorder="1" applyAlignment="1" applyProtection="1" quotePrefix="1">
      <alignment horizontal="center"/>
      <protection/>
    </xf>
    <xf numFmtId="179" fontId="168" fillId="41" borderId="27" xfId="0" applyNumberFormat="1" applyFont="1" applyFill="1" applyBorder="1" applyAlignment="1" applyProtection="1" quotePrefix="1">
      <alignment horizontal="center"/>
      <protection/>
    </xf>
    <xf numFmtId="179" fontId="175" fillId="49" borderId="27" xfId="0" applyNumberFormat="1" applyFont="1" applyFill="1" applyBorder="1" applyAlignment="1" applyProtection="1" quotePrefix="1">
      <alignment horizontal="center"/>
      <protection/>
    </xf>
    <xf numFmtId="191" fontId="169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8" fillId="48" borderId="28" xfId="65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5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25" fillId="38" borderId="119" xfId="0" applyNumberFormat="1" applyFont="1" applyFill="1" applyBorder="1" applyAlignment="1" applyProtection="1">
      <alignment horizontal="center"/>
      <protection/>
    </xf>
    <xf numFmtId="210" fontId="24" fillId="33" borderId="0" xfId="58" applyNumberFormat="1" applyFont="1" applyFill="1" applyBorder="1" applyAlignment="1">
      <alignment/>
      <protection/>
    </xf>
    <xf numFmtId="177" fontId="24" fillId="33" borderId="0" xfId="57" applyNumberFormat="1" applyFont="1" applyFill="1" applyBorder="1" applyAlignment="1">
      <alignment/>
      <protection/>
    </xf>
    <xf numFmtId="179" fontId="24" fillId="33" borderId="0" xfId="57" applyNumberFormat="1" applyFont="1" applyFill="1" applyBorder="1" applyAlignment="1">
      <alignment/>
      <protection/>
    </xf>
    <xf numFmtId="179" fontId="24" fillId="32" borderId="0" xfId="57" applyNumberFormat="1" applyFont="1" applyFill="1" applyBorder="1" applyAlignment="1">
      <alignment horizontal="center"/>
      <protection/>
    </xf>
    <xf numFmtId="195" fontId="19" fillId="54" borderId="19" xfId="58" applyNumberFormat="1" applyFont="1" applyFill="1" applyBorder="1" applyAlignment="1">
      <alignment/>
      <protection/>
    </xf>
    <xf numFmtId="195" fontId="19" fillId="54" borderId="69" xfId="58" applyNumberFormat="1" applyFont="1" applyFill="1" applyBorder="1" applyAlignment="1">
      <alignment/>
      <protection/>
    </xf>
    <xf numFmtId="195" fontId="19" fillId="54" borderId="20" xfId="58" applyNumberFormat="1" applyFont="1" applyFill="1" applyBorder="1" applyAlignment="1">
      <alignment/>
      <protection/>
    </xf>
    <xf numFmtId="195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1" fontId="189" fillId="39" borderId="102" xfId="0" applyNumberFormat="1" applyFont="1" applyFill="1" applyBorder="1" applyAlignment="1" applyProtection="1" quotePrefix="1">
      <alignment horizontal="center"/>
      <protection/>
    </xf>
    <xf numFmtId="211" fontId="163" fillId="41" borderId="102" xfId="0" applyNumberFormat="1" applyFont="1" applyFill="1" applyBorder="1" applyAlignment="1" applyProtection="1" quotePrefix="1">
      <alignment horizontal="center"/>
      <protection/>
    </xf>
    <xf numFmtId="211" fontId="175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90" fillId="32" borderId="45" xfId="0" applyNumberFormat="1" applyFont="1" applyFill="1" applyBorder="1" applyAlignment="1" applyProtection="1">
      <alignment horizontal="center"/>
      <protection locked="0"/>
    </xf>
    <xf numFmtId="211" fontId="189" fillId="39" borderId="27" xfId="0" applyNumberFormat="1" applyFont="1" applyFill="1" applyBorder="1" applyAlignment="1" applyProtection="1">
      <alignment horizontal="center"/>
      <protection/>
    </xf>
    <xf numFmtId="211" fontId="163" fillId="41" borderId="27" xfId="0" applyNumberFormat="1" applyFont="1" applyFill="1" applyBorder="1" applyAlignment="1" applyProtection="1" quotePrefix="1">
      <alignment horizontal="center"/>
      <protection/>
    </xf>
    <xf numFmtId="211" fontId="175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91" fillId="33" borderId="45" xfId="0" applyNumberFormat="1" applyFont="1" applyFill="1" applyBorder="1" applyAlignment="1" applyProtection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176" fontId="70" fillId="32" borderId="0" xfId="57" applyNumberFormat="1" applyFont="1" applyFill="1" applyBorder="1" applyAlignment="1">
      <alignment horizontal="left"/>
      <protection/>
    </xf>
    <xf numFmtId="176" fontId="71" fillId="45" borderId="0" xfId="57" applyNumberFormat="1" applyFont="1" applyFill="1" applyBorder="1" applyAlignment="1">
      <alignment horizontal="center"/>
      <protection/>
    </xf>
    <xf numFmtId="179" fontId="71" fillId="45" borderId="0" xfId="57" applyNumberFormat="1" applyFont="1" applyFill="1" applyBorder="1" applyAlignment="1">
      <alignment horizontal="center"/>
      <protection/>
    </xf>
    <xf numFmtId="179" fontId="70" fillId="32" borderId="0" xfId="57" applyNumberFormat="1" applyFont="1" applyFill="1" applyBorder="1" applyAlignment="1">
      <alignment horizontal="center"/>
      <protection/>
    </xf>
    <xf numFmtId="176" fontId="70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70" fillId="33" borderId="0" xfId="57" applyNumberFormat="1" applyFont="1" applyFill="1" applyBorder="1" applyAlignment="1">
      <alignment/>
      <protection/>
    </xf>
    <xf numFmtId="179" fontId="70" fillId="45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195" fontId="70" fillId="33" borderId="0" xfId="58" applyNumberFormat="1" applyFont="1" applyFill="1" applyBorder="1" applyAlignment="1">
      <alignment/>
      <protection/>
    </xf>
    <xf numFmtId="195" fontId="9" fillId="33" borderId="0" xfId="58" applyNumberFormat="1" applyFont="1" applyFill="1" applyBorder="1" applyAlignment="1">
      <alignment horizontal="left"/>
      <protection/>
    </xf>
    <xf numFmtId="177" fontId="70" fillId="33" borderId="0" xfId="57" applyNumberFormat="1" applyFont="1" applyFill="1" applyBorder="1" applyAlignment="1">
      <alignment/>
      <protection/>
    </xf>
    <xf numFmtId="200" fontId="70" fillId="33" borderId="0" xfId="57" applyNumberFormat="1" applyFont="1" applyFill="1" applyBorder="1" applyAlignment="1">
      <alignment horizontal="center"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197" fontId="70" fillId="45" borderId="69" xfId="58" applyNumberFormat="1" applyFont="1" applyFill="1" applyBorder="1" applyAlignment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197" fontId="70" fillId="45" borderId="18" xfId="58" applyNumberFormat="1" applyFont="1" applyFill="1" applyBorder="1" applyAlignment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70" fillId="45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195" fontId="19" fillId="54" borderId="19" xfId="58" applyNumberFormat="1" applyFont="1" applyFill="1" applyBorder="1" applyAlignment="1">
      <alignment/>
      <protection/>
    </xf>
    <xf numFmtId="195" fontId="19" fillId="54" borderId="69" xfId="58" applyNumberFormat="1" applyFont="1" applyFill="1" applyBorder="1" applyAlignment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195" fontId="19" fillId="54" borderId="20" xfId="58" applyNumberFormat="1" applyFont="1" applyFill="1" applyBorder="1" applyAlignment="1">
      <alignment/>
      <protection/>
    </xf>
    <xf numFmtId="195" fontId="19" fillId="54" borderId="21" xfId="58" applyNumberFormat="1" applyFont="1" applyFill="1" applyBorder="1" applyAlignment="1">
      <alignment/>
      <protection/>
    </xf>
    <xf numFmtId="195" fontId="9" fillId="33" borderId="0" xfId="58" applyNumberFormat="1" applyFont="1" applyFill="1" applyBorder="1" applyAlignment="1">
      <alignment/>
      <protection/>
    </xf>
    <xf numFmtId="201" fontId="70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79" fontId="24" fillId="45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>
      <alignment/>
      <protection/>
    </xf>
    <xf numFmtId="0" fontId="8" fillId="32" borderId="68" xfId="57" applyFont="1" applyFill="1" applyBorder="1">
      <alignment/>
      <protection/>
    </xf>
    <xf numFmtId="178" fontId="19" fillId="32" borderId="69" xfId="57" applyNumberFormat="1" applyFont="1" applyFill="1" applyBorder="1" applyAlignment="1">
      <alignment horizontal="center"/>
      <protection/>
    </xf>
    <xf numFmtId="178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8" fontId="70" fillId="38" borderId="0" xfId="57" applyNumberFormat="1" applyFont="1" applyFill="1" applyBorder="1" applyAlignment="1">
      <alignment/>
      <protection/>
    </xf>
    <xf numFmtId="210" fontId="70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79" fontId="9" fillId="32" borderId="19" xfId="57" applyNumberFormat="1" applyFont="1" applyFill="1" applyBorder="1" applyAlignment="1">
      <alignment horizontal="left"/>
      <protection/>
    </xf>
    <xf numFmtId="179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6" fontId="70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7" fontId="70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7" fontId="70" fillId="32" borderId="20" xfId="57" applyNumberFormat="1" applyFont="1" applyFill="1" applyBorder="1">
      <alignment/>
      <protection/>
    </xf>
    <xf numFmtId="176" fontId="70" fillId="32" borderId="20" xfId="57" applyNumberFormat="1" applyFont="1" applyFill="1" applyBorder="1" applyAlignment="1">
      <alignment horizontal="left"/>
      <protection/>
    </xf>
    <xf numFmtId="200" fontId="70" fillId="33" borderId="0" xfId="57" applyNumberFormat="1" applyFont="1" applyFill="1" applyBorder="1" applyAlignment="1">
      <alignment horizontal="center"/>
      <protection/>
    </xf>
    <xf numFmtId="202" fontId="60" fillId="32" borderId="19" xfId="58" applyNumberFormat="1" applyFont="1" applyFill="1" applyBorder="1" applyAlignment="1">
      <alignment horizontal="center"/>
      <protection/>
    </xf>
    <xf numFmtId="179" fontId="70" fillId="32" borderId="0" xfId="57" applyNumberFormat="1" applyFont="1" applyFill="1" applyBorder="1" applyAlignment="1">
      <alignment horizontal="center"/>
      <protection/>
    </xf>
    <xf numFmtId="177" fontId="70" fillId="33" borderId="0" xfId="57" applyNumberFormat="1" applyFont="1" applyFill="1" applyBorder="1" applyAlignment="1">
      <alignment horizontal="center"/>
      <protection/>
    </xf>
    <xf numFmtId="198" fontId="60" fillId="45" borderId="0" xfId="58" applyNumberFormat="1" applyFont="1" applyFill="1" applyBorder="1" applyAlignment="1">
      <alignment horizontal="center"/>
      <protection/>
    </xf>
    <xf numFmtId="203" fontId="60" fillId="32" borderId="0" xfId="58" applyNumberFormat="1" applyFont="1" applyFill="1" applyBorder="1" applyAlignment="1">
      <alignment horizontal="center"/>
      <protection/>
    </xf>
    <xf numFmtId="204" fontId="60" fillId="32" borderId="20" xfId="58" applyNumberFormat="1" applyFont="1" applyFill="1" applyBorder="1" applyAlignment="1">
      <alignment horizontal="center"/>
      <protection/>
    </xf>
    <xf numFmtId="195" fontId="70" fillId="33" borderId="0" xfId="58" applyNumberFormat="1" applyFont="1" applyFill="1" applyBorder="1" applyAlignment="1">
      <alignment horizontal="center"/>
      <protection/>
    </xf>
    <xf numFmtId="195" fontId="70" fillId="45" borderId="0" xfId="58" applyNumberFormat="1" applyFont="1" applyFill="1" applyBorder="1" applyAlignment="1">
      <alignment horizontal="center"/>
      <protection/>
    </xf>
    <xf numFmtId="177" fontId="24" fillId="33" borderId="0" xfId="57" applyNumberFormat="1" applyFont="1" applyFill="1" applyBorder="1" applyAlignment="1">
      <alignment horizontal="left"/>
      <protection/>
    </xf>
    <xf numFmtId="203" fontId="60" fillId="45" borderId="0" xfId="58" applyNumberFormat="1" applyFont="1" applyFill="1" applyBorder="1" applyAlignment="1">
      <alignment horizontal="center"/>
      <protection/>
    </xf>
    <xf numFmtId="204" fontId="60" fillId="45" borderId="20" xfId="58" applyNumberFormat="1" applyFont="1" applyFill="1" applyBorder="1" applyAlignment="1">
      <alignment horizontal="center"/>
      <protection/>
    </xf>
    <xf numFmtId="202" fontId="60" fillId="45" borderId="19" xfId="58" applyNumberFormat="1" applyFont="1" applyFill="1" applyBorder="1" applyAlignment="1">
      <alignment horizontal="center"/>
      <protection/>
    </xf>
    <xf numFmtId="177" fontId="70" fillId="33" borderId="0" xfId="57" applyNumberFormat="1" applyFont="1" applyFill="1" applyBorder="1" applyAlignment="1">
      <alignment horizontal="left"/>
      <protection/>
    </xf>
    <xf numFmtId="210" fontId="24" fillId="33" borderId="0" xfId="58" applyNumberFormat="1" applyFont="1" applyFill="1" applyBorder="1" applyAlignment="1">
      <alignment horizontal="center"/>
      <protection/>
    </xf>
    <xf numFmtId="179" fontId="70" fillId="45" borderId="0" xfId="57" applyNumberFormat="1" applyFont="1" applyFill="1" applyBorder="1" applyAlignment="1">
      <alignment horizontal="center"/>
      <protection/>
    </xf>
    <xf numFmtId="195" fontId="70" fillId="32" borderId="0" xfId="58" applyNumberFormat="1" applyFont="1" applyFill="1" applyBorder="1" applyAlignment="1">
      <alignment horizontal="center"/>
      <protection/>
    </xf>
    <xf numFmtId="197" fontId="60" fillId="45" borderId="19" xfId="58" applyNumberFormat="1" applyFont="1" applyFill="1" applyBorder="1" applyAlignment="1">
      <alignment horizontal="center"/>
      <protection/>
    </xf>
    <xf numFmtId="199" fontId="60" fillId="32" borderId="20" xfId="58" applyNumberFormat="1" applyFont="1" applyFill="1" applyBorder="1" applyAlignment="1">
      <alignment horizontal="center"/>
      <protection/>
    </xf>
    <xf numFmtId="193" fontId="8" fillId="40" borderId="132" xfId="58" applyNumberFormat="1" applyFont="1" applyFill="1" applyBorder="1" applyAlignment="1">
      <alignment horizontal="center"/>
      <protection/>
    </xf>
    <xf numFmtId="179" fontId="70" fillId="33" borderId="0" xfId="57" applyNumberFormat="1" applyFont="1" applyFill="1" applyBorder="1" applyAlignment="1">
      <alignment horizontal="center"/>
      <protection/>
    </xf>
    <xf numFmtId="177" fontId="70" fillId="45" borderId="0" xfId="57" applyNumberFormat="1" applyFont="1" applyFill="1" applyBorder="1" applyAlignment="1">
      <alignment horizontal="center"/>
      <protection/>
    </xf>
    <xf numFmtId="178" fontId="70" fillId="38" borderId="0" xfId="57" applyNumberFormat="1" applyFont="1" applyFill="1" applyBorder="1" applyAlignment="1">
      <alignment horizontal="left"/>
      <protection/>
    </xf>
    <xf numFmtId="199" fontId="60" fillId="45" borderId="20" xfId="58" applyNumberFormat="1" applyFont="1" applyFill="1" applyBorder="1" applyAlignment="1">
      <alignment horizontal="center"/>
      <protection/>
    </xf>
    <xf numFmtId="197" fontId="60" fillId="32" borderId="19" xfId="58" applyNumberFormat="1" applyFont="1" applyFill="1" applyBorder="1" applyAlignment="1">
      <alignment horizontal="center"/>
      <protection/>
    </xf>
    <xf numFmtId="198" fontId="60" fillId="32" borderId="0" xfId="58" applyNumberFormat="1" applyFont="1" applyFill="1" applyBorder="1" applyAlignment="1">
      <alignment horizontal="center"/>
      <protection/>
    </xf>
    <xf numFmtId="179" fontId="24" fillId="32" borderId="0" xfId="57" applyNumberFormat="1" applyFont="1" applyFill="1" applyBorder="1" applyAlignment="1">
      <alignment horizontal="center"/>
      <protection/>
    </xf>
    <xf numFmtId="176" fontId="70" fillId="32" borderId="0" xfId="57" applyNumberFormat="1" applyFont="1" applyFill="1" applyBorder="1" applyAlignment="1">
      <alignment horizontal="center"/>
      <protection/>
    </xf>
    <xf numFmtId="178" fontId="70" fillId="32" borderId="19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70" fillId="38" borderId="0" xfId="57" applyNumberFormat="1" applyFont="1" applyFill="1" applyBorder="1" applyAlignment="1">
      <alignment horizontal="center"/>
      <protection/>
    </xf>
    <xf numFmtId="0" fontId="192" fillId="55" borderId="0" xfId="63" applyFont="1" applyFill="1" applyBorder="1" applyAlignment="1">
      <alignment horizontal="center"/>
      <protection/>
    </xf>
    <xf numFmtId="208" fontId="193" fillId="55" borderId="0" xfId="63" applyNumberFormat="1" applyFont="1" applyFill="1" applyBorder="1" applyAlignment="1">
      <alignment horizontal="center"/>
      <protection/>
    </xf>
    <xf numFmtId="177" fontId="24" fillId="33" borderId="0" xfId="57" applyNumberFormat="1" applyFont="1" applyFill="1" applyBorder="1" applyAlignment="1">
      <alignment horizontal="center"/>
      <protection/>
    </xf>
    <xf numFmtId="210" fontId="24" fillId="33" borderId="0" xfId="58" applyNumberFormat="1" applyFont="1" applyFill="1" applyBorder="1" applyAlignment="1">
      <alignment horizontal="left"/>
      <protection/>
    </xf>
    <xf numFmtId="206" fontId="194" fillId="48" borderId="43" xfId="65" applyNumberFormat="1" applyFont="1" applyFill="1" applyBorder="1" applyAlignment="1" applyProtection="1">
      <alignment horizontal="left"/>
      <protection/>
    </xf>
    <xf numFmtId="206" fontId="194" fillId="48" borderId="29" xfId="65" applyNumberFormat="1" applyFont="1" applyFill="1" applyBorder="1" applyAlignment="1" applyProtection="1">
      <alignment horizontal="left"/>
      <protection/>
    </xf>
    <xf numFmtId="0" fontId="193" fillId="55" borderId="0" xfId="57" applyFont="1" applyFill="1" applyAlignment="1" applyProtection="1" quotePrefix="1">
      <alignment horizontal="center"/>
      <protection/>
    </xf>
    <xf numFmtId="209" fontId="193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5" fillId="33" borderId="47" xfId="65" applyNumberFormat="1" applyFont="1" applyFill="1" applyBorder="1" applyAlignment="1" applyProtection="1">
      <alignment horizontal="center"/>
      <protection/>
    </xf>
    <xf numFmtId="38" fontId="195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5" fillId="33" borderId="49" xfId="65" applyNumberFormat="1" applyFont="1" applyFill="1" applyBorder="1" applyAlignment="1" applyProtection="1">
      <alignment horizontal="center"/>
      <protection/>
    </xf>
    <xf numFmtId="38" fontId="195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5" fillId="33" borderId="28" xfId="0" applyNumberFormat="1" applyFont="1" applyFill="1" applyBorder="1" applyAlignment="1" applyProtection="1">
      <alignment horizontal="center"/>
      <protection locked="0"/>
    </xf>
    <xf numFmtId="1" fontId="55" fillId="33" borderId="43" xfId="0" applyNumberFormat="1" applyFont="1" applyFill="1" applyBorder="1" applyAlignment="1" applyProtection="1">
      <alignment horizontal="center"/>
      <protection locked="0"/>
    </xf>
    <xf numFmtId="1" fontId="55" fillId="33" borderId="29" xfId="0" applyNumberFormat="1" applyFont="1" applyFill="1" applyBorder="1" applyAlignment="1" applyProtection="1">
      <alignment horizontal="center"/>
      <protection locked="0"/>
    </xf>
    <xf numFmtId="187" fontId="158" fillId="33" borderId="28" xfId="62" applyNumberFormat="1" applyFont="1" applyFill="1" applyBorder="1" applyAlignment="1" applyProtection="1" quotePrefix="1">
      <alignment horizontal="center" vertical="center"/>
      <protection locked="0"/>
    </xf>
    <xf numFmtId="187" fontId="158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7" fillId="36" borderId="28" xfId="53" applyFill="1" applyBorder="1" applyAlignment="1" applyProtection="1">
      <alignment horizontal="center" vertical="center"/>
      <protection locked="0"/>
    </xf>
    <xf numFmtId="0" fontId="196" fillId="36" borderId="43" xfId="53" applyFont="1" applyFill="1" applyBorder="1" applyAlignment="1" applyProtection="1">
      <alignment horizontal="center" vertical="center"/>
      <protection locked="0"/>
    </xf>
    <xf numFmtId="0" fontId="196" fillId="36" borderId="29" xfId="53" applyFont="1" applyFill="1" applyBorder="1" applyAlignment="1" applyProtection="1">
      <alignment horizontal="center" vertical="center"/>
      <protection locked="0"/>
    </xf>
    <xf numFmtId="38" fontId="147" fillId="33" borderId="28" xfId="53" applyNumberFormat="1" applyFill="1" applyBorder="1" applyAlignment="1" applyProtection="1">
      <alignment horizontal="center" vertical="center"/>
      <protection locked="0"/>
    </xf>
    <xf numFmtId="38" fontId="197" fillId="33" borderId="43" xfId="53" applyNumberFormat="1" applyFont="1" applyFill="1" applyBorder="1" applyAlignment="1" applyProtection="1">
      <alignment horizontal="center" vertical="center"/>
      <protection locked="0"/>
    </xf>
    <xf numFmtId="38" fontId="197" fillId="33" borderId="29" xfId="53" applyNumberFormat="1" applyFont="1" applyFill="1" applyBorder="1" applyAlignment="1" applyProtection="1">
      <alignment horizontal="center" vertical="center"/>
      <protection locked="0"/>
    </xf>
    <xf numFmtId="0" fontId="198" fillId="32" borderId="0" xfId="60" applyFont="1" applyFill="1" applyBorder="1" applyAlignment="1" applyProtection="1">
      <alignment horizontal="center"/>
      <protection/>
    </xf>
    <xf numFmtId="185" fontId="163" fillId="33" borderId="28" xfId="60" applyNumberFormat="1" applyFont="1" applyFill="1" applyBorder="1" applyAlignment="1" applyProtection="1">
      <alignment horizontal="center"/>
      <protection/>
    </xf>
    <xf numFmtId="185" fontId="163" fillId="33" borderId="43" xfId="60" applyNumberFormat="1" applyFont="1" applyFill="1" applyBorder="1" applyAlignment="1" applyProtection="1">
      <alignment horizontal="center"/>
      <protection/>
    </xf>
    <xf numFmtId="185" fontId="163" fillId="33" borderId="29" xfId="60" applyNumberFormat="1" applyFont="1" applyFill="1" applyBorder="1" applyAlignment="1" applyProtection="1">
      <alignment horizontal="center"/>
      <protection/>
    </xf>
    <xf numFmtId="0" fontId="57" fillId="50" borderId="133" xfId="64" applyFont="1" applyFill="1" applyBorder="1" applyAlignment="1" applyProtection="1" quotePrefix="1">
      <alignment horizontal="center" wrapText="1"/>
      <protection locked="0"/>
    </xf>
    <xf numFmtId="0" fontId="57" fillId="50" borderId="53" xfId="64" applyFont="1" applyFill="1" applyBorder="1" applyAlignment="1" applyProtection="1">
      <alignment horizontal="center" wrapText="1"/>
      <protection locked="0"/>
    </xf>
    <xf numFmtId="0" fontId="57" fillId="50" borderId="134" xfId="64" applyFont="1" applyFill="1" applyBorder="1" applyAlignment="1" applyProtection="1">
      <alignment horizontal="center" wrapText="1"/>
      <protection locked="0"/>
    </xf>
    <xf numFmtId="0" fontId="199" fillId="32" borderId="45" xfId="57" applyFont="1" applyFill="1" applyBorder="1" applyAlignment="1" applyProtection="1" quotePrefix="1">
      <alignment horizontal="center"/>
      <protection/>
    </xf>
    <xf numFmtId="0" fontId="200" fillId="38" borderId="26" xfId="64" applyFont="1" applyFill="1" applyBorder="1" applyAlignment="1" applyProtection="1">
      <alignment horizontal="center" vertical="center" wrapText="1"/>
      <protection locked="0"/>
    </xf>
    <xf numFmtId="0" fontId="200" fillId="38" borderId="20" xfId="64" applyFont="1" applyFill="1" applyBorder="1" applyAlignment="1" applyProtection="1">
      <alignment horizontal="center" vertical="center" wrapText="1"/>
      <protection locked="0"/>
    </xf>
    <xf numFmtId="0" fontId="200" fillId="38" borderId="21" xfId="64" applyFont="1" applyFill="1" applyBorder="1" applyAlignment="1" applyProtection="1">
      <alignment horizontal="center" vertical="center" wrapText="1"/>
      <protection locked="0"/>
    </xf>
    <xf numFmtId="0" fontId="201" fillId="33" borderId="61" xfId="61" applyFont="1" applyFill="1" applyBorder="1" applyAlignment="1" applyProtection="1">
      <alignment horizontal="center"/>
      <protection/>
    </xf>
    <xf numFmtId="0" fontId="201" fillId="33" borderId="0" xfId="61" applyFont="1" applyFill="1" applyBorder="1" applyAlignment="1" applyProtection="1">
      <alignment horizontal="center"/>
      <protection/>
    </xf>
    <xf numFmtId="0" fontId="201" fillId="33" borderId="30" xfId="61" applyFont="1" applyFill="1" applyBorder="1" applyAlignment="1" applyProtection="1">
      <alignment horizontal="center"/>
      <protection/>
    </xf>
    <xf numFmtId="0" fontId="172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5" fontId="202" fillId="32" borderId="0" xfId="60" applyNumberFormat="1" applyFont="1" applyFill="1" applyBorder="1" applyAlignment="1" applyProtection="1">
      <alignment horizontal="center"/>
      <protection/>
    </xf>
    <xf numFmtId="0" fontId="158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24" fillId="54" borderId="42" xfId="65" applyNumberFormat="1" applyFont="1" applyFill="1" applyBorder="1" applyAlignment="1" applyProtection="1">
      <alignment horizontal="center"/>
      <protection/>
    </xf>
    <xf numFmtId="38" fontId="24" fillId="54" borderId="43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4" xfId="65" applyNumberFormat="1" applyFont="1" applyFill="1" applyBorder="1" applyAlignment="1" applyProtection="1">
      <alignment horizontal="center"/>
      <protection/>
    </xf>
    <xf numFmtId="38" fontId="24" fillId="43" borderId="59" xfId="65" applyNumberFormat="1" applyFont="1" applyFill="1" applyBorder="1" applyAlignment="1" applyProtection="1">
      <alignment horizontal="center"/>
      <protection/>
    </xf>
    <xf numFmtId="38" fontId="24" fillId="43" borderId="47" xfId="65" applyNumberFormat="1" applyFont="1" applyFill="1" applyBorder="1" applyAlignment="1" applyProtection="1">
      <alignment horizontal="center"/>
      <protection/>
    </xf>
    <xf numFmtId="38" fontId="24" fillId="43" borderId="48" xfId="65" applyNumberFormat="1" applyFont="1" applyFill="1" applyBorder="1" applyAlignment="1" applyProtection="1">
      <alignment horizontal="center"/>
      <protection/>
    </xf>
    <xf numFmtId="38" fontId="24" fillId="43" borderId="60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6" fillId="46" borderId="65" xfId="65" applyNumberFormat="1" applyFont="1" applyFill="1" applyBorder="1" applyAlignment="1" applyProtection="1">
      <alignment horizontal="center"/>
      <protection/>
    </xf>
    <xf numFmtId="38" fontId="166" fillId="46" borderId="20" xfId="65" applyNumberFormat="1" applyFont="1" applyFill="1" applyBorder="1" applyAlignment="1" applyProtection="1">
      <alignment horizontal="center"/>
      <protection/>
    </xf>
    <xf numFmtId="38" fontId="166" fillId="46" borderId="58" xfId="65" applyNumberFormat="1" applyFont="1" applyFill="1" applyBorder="1" applyAlignment="1" applyProtection="1">
      <alignment horizontal="center"/>
      <protection/>
    </xf>
    <xf numFmtId="38" fontId="49" fillId="33" borderId="62" xfId="65" applyNumberFormat="1" applyFont="1" applyFill="1" applyBorder="1" applyAlignment="1" applyProtection="1">
      <alignment horizontal="center"/>
      <protection/>
    </xf>
    <xf numFmtId="38" fontId="49" fillId="33" borderId="45" xfId="65" applyNumberFormat="1" applyFont="1" applyFill="1" applyBorder="1" applyAlignment="1" applyProtection="1">
      <alignment horizontal="center"/>
      <protection/>
    </xf>
    <xf numFmtId="38" fontId="49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38" fontId="185" fillId="43" borderId="42" xfId="65" applyNumberFormat="1" applyFont="1" applyFill="1" applyBorder="1" applyAlignment="1" applyProtection="1">
      <alignment horizontal="center"/>
      <protection/>
    </xf>
    <xf numFmtId="38" fontId="185" fillId="43" borderId="43" xfId="65" applyNumberFormat="1" applyFont="1" applyFill="1" applyBorder="1" applyAlignment="1" applyProtection="1">
      <alignment horizontal="center"/>
      <protection/>
    </xf>
    <xf numFmtId="38" fontId="185" fillId="43" borderId="44" xfId="65" applyNumberFormat="1" applyFont="1" applyFill="1" applyBorder="1" applyAlignment="1" applyProtection="1">
      <alignment horizontal="center"/>
      <protection/>
    </xf>
    <xf numFmtId="186" fontId="203" fillId="45" borderId="28" xfId="57" applyNumberFormat="1" applyFont="1" applyFill="1" applyBorder="1" applyAlignment="1" applyProtection="1">
      <alignment horizontal="center" vertical="center"/>
      <protection locked="0"/>
    </xf>
    <xf numFmtId="186" fontId="203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207" fontId="204" fillId="32" borderId="0" xfId="0" applyNumberFormat="1" applyFont="1" applyFill="1" applyAlignment="1" applyProtection="1">
      <alignment horizontal="center"/>
      <protection/>
    </xf>
    <xf numFmtId="207" fontId="204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7" fontId="8" fillId="33" borderId="28" xfId="62" applyNumberFormat="1" applyFont="1" applyFill="1" applyBorder="1" applyAlignment="1" applyProtection="1" quotePrefix="1">
      <alignment horizontal="center" vertical="center"/>
      <protection/>
    </xf>
    <xf numFmtId="187" fontId="8" fillId="33" borderId="29" xfId="62" applyNumberFormat="1" applyFont="1" applyFill="1" applyBorder="1" applyAlignment="1" applyProtection="1" quotePrefix="1">
      <alignment horizontal="center" vertical="center"/>
      <protection/>
    </xf>
    <xf numFmtId="186" fontId="203" fillId="45" borderId="28" xfId="57" applyNumberFormat="1" applyFont="1" applyFill="1" applyBorder="1" applyAlignment="1" applyProtection="1">
      <alignment horizontal="center" vertical="center"/>
      <protection/>
    </xf>
    <xf numFmtId="186" fontId="203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60" fillId="33" borderId="26" xfId="64" applyFont="1" applyFill="1" applyBorder="1" applyAlignment="1" applyProtection="1">
      <alignment horizontal="center" vertical="center" wrapText="1"/>
      <protection/>
    </xf>
    <xf numFmtId="0" fontId="60" fillId="33" borderId="20" xfId="64" applyFont="1" applyFill="1" applyBorder="1" applyAlignment="1" applyProtection="1">
      <alignment horizontal="center" vertical="center" wrapText="1"/>
      <protection/>
    </xf>
    <xf numFmtId="0" fontId="60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5" fillId="36" borderId="28" xfId="53" applyFont="1" applyFill="1" applyBorder="1" applyAlignment="1" applyProtection="1">
      <alignment horizontal="center" vertical="center"/>
      <protection/>
    </xf>
    <xf numFmtId="0" fontId="205" fillId="36" borderId="43" xfId="53" applyFont="1" applyFill="1" applyBorder="1" applyAlignment="1" applyProtection="1">
      <alignment horizontal="center" vertical="center"/>
      <protection/>
    </xf>
    <xf numFmtId="0" fontId="205" fillId="36" borderId="29" xfId="53" applyFont="1" applyFill="1" applyBorder="1" applyAlignment="1" applyProtection="1">
      <alignment horizontal="center" vertical="center"/>
      <protection/>
    </xf>
    <xf numFmtId="0" fontId="31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202" fillId="33" borderId="0" xfId="60" applyNumberFormat="1" applyFont="1" applyFill="1" applyBorder="1" applyAlignment="1" applyProtection="1">
      <alignment horizontal="center"/>
      <protection/>
    </xf>
    <xf numFmtId="0" fontId="199" fillId="33" borderId="45" xfId="57" applyFont="1" applyFill="1" applyBorder="1" applyAlignment="1" applyProtection="1" quotePrefix="1">
      <alignment horizontal="center"/>
      <protection/>
    </xf>
    <xf numFmtId="185" fontId="4" fillId="32" borderId="28" xfId="60" applyNumberFormat="1" applyFont="1" applyFill="1" applyBorder="1" applyAlignment="1" applyProtection="1">
      <alignment horizontal="center"/>
      <protection/>
    </xf>
    <xf numFmtId="185" fontId="4" fillId="32" borderId="43" xfId="60" applyNumberFormat="1" applyFont="1" applyFill="1" applyBorder="1" applyAlignment="1" applyProtection="1">
      <alignment horizontal="center"/>
      <protection/>
    </xf>
    <xf numFmtId="185" fontId="4" fillId="32" borderId="29" xfId="60" applyNumberFormat="1" applyFont="1" applyFill="1" applyBorder="1" applyAlignment="1" applyProtection="1">
      <alignment horizontal="center"/>
      <protection/>
    </xf>
    <xf numFmtId="0" fontId="201" fillId="33" borderId="116" xfId="61" applyFont="1" applyFill="1" applyBorder="1" applyAlignment="1" applyProtection="1">
      <alignment horizontal="center"/>
      <protection/>
    </xf>
    <xf numFmtId="0" fontId="201" fillId="33" borderId="135" xfId="61" applyFont="1" applyFill="1" applyBorder="1" applyAlignment="1" applyProtection="1">
      <alignment horizontal="center"/>
      <protection/>
    </xf>
    <xf numFmtId="208" fontId="206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613" t="s">
        <v>289</v>
      </c>
      <c r="C2" s="614"/>
      <c r="D2" s="614"/>
      <c r="E2" s="614"/>
      <c r="F2" s="614"/>
      <c r="G2" s="614"/>
      <c r="H2" s="614"/>
      <c r="I2" s="614"/>
      <c r="J2" s="614"/>
      <c r="K2" s="614"/>
      <c r="L2" s="685">
        <f>+'Cash-Flow-2022-Leva'!P5</f>
        <v>2022</v>
      </c>
      <c r="M2" s="685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0"/>
      <c r="D7" s="67" t="s">
        <v>44</v>
      </c>
      <c r="E7" s="67"/>
      <c r="F7" s="67"/>
      <c r="G7" s="67"/>
      <c r="H7" s="693">
        <f>+'Cash-Flow-2022-Leva'!P5</f>
        <v>2022</v>
      </c>
      <c r="I7" s="693"/>
      <c r="J7" s="67" t="s">
        <v>371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0"/>
      <c r="D8" s="67" t="s">
        <v>264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0"/>
      <c r="D9" s="67" t="s">
        <v>263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0">
        <f>1+C5</f>
        <v>2</v>
      </c>
      <c r="D10" s="67" t="s">
        <v>372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0"/>
      <c r="D11" s="463" t="s">
        <v>373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0"/>
      <c r="D12" s="67" t="s">
        <v>374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0"/>
      <c r="D13" s="67" t="s">
        <v>375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0"/>
      <c r="D14" s="67" t="s">
        <v>301</v>
      </c>
      <c r="E14" s="67"/>
      <c r="F14" s="67"/>
      <c r="G14" s="67"/>
      <c r="H14" s="615">
        <f>+H7</f>
        <v>2022</v>
      </c>
      <c r="I14" s="67" t="s">
        <v>302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0"/>
      <c r="D15" s="67" t="s">
        <v>376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0">
        <f>1+C10</f>
        <v>3</v>
      </c>
      <c r="D16" s="67" t="s">
        <v>377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0"/>
      <c r="D17" s="463" t="s">
        <v>378</v>
      </c>
      <c r="E17" s="616">
        <f>+H7-1</f>
        <v>2021</v>
      </c>
      <c r="F17" s="463" t="s">
        <v>379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0"/>
      <c r="D18" s="67" t="s">
        <v>380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0"/>
      <c r="D19" s="67" t="s">
        <v>381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0"/>
      <c r="D20" s="67" t="s">
        <v>382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0"/>
      <c r="D21" s="67" t="s">
        <v>301</v>
      </c>
      <c r="E21" s="67"/>
      <c r="F21" s="67"/>
      <c r="G21" s="67"/>
      <c r="H21" s="616">
        <f>+H7-1</f>
        <v>2021</v>
      </c>
      <c r="I21" s="67" t="s">
        <v>302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0"/>
      <c r="D22" s="67" t="s">
        <v>383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0">
        <f>1+C16</f>
        <v>4</v>
      </c>
      <c r="D23" s="67" t="s">
        <v>384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0"/>
      <c r="D24" s="462" t="s">
        <v>271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0"/>
      <c r="D25" s="463" t="s">
        <v>270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0">
        <f>1+C23</f>
        <v>5</v>
      </c>
      <c r="D26" s="81" t="s">
        <v>280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0"/>
      <c r="D27" s="81" t="s">
        <v>290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9" t="s">
        <v>11</v>
      </c>
      <c r="C30" s="73" t="s">
        <v>13</v>
      </c>
      <c r="D30" s="67"/>
      <c r="E30" s="67"/>
      <c r="F30" s="695">
        <f>+'Cash-Flow-2022-Leva'!P5</f>
        <v>2022</v>
      </c>
      <c r="G30" s="695"/>
      <c r="H30" s="695"/>
      <c r="I30" s="695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.75">
      <c r="A31" s="80"/>
      <c r="B31" s="66"/>
      <c r="C31" s="70">
        <f>1+C28</f>
        <v>7</v>
      </c>
      <c r="D31" s="67" t="s">
        <v>385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.75">
      <c r="A32" s="80"/>
      <c r="B32" s="66"/>
      <c r="C32" s="70">
        <f>1+C31</f>
        <v>8</v>
      </c>
      <c r="D32" s="67" t="s">
        <v>386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.75">
      <c r="A33" s="80"/>
      <c r="B33" s="66"/>
      <c r="C33" s="70"/>
      <c r="D33" s="463" t="s">
        <v>387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.75">
      <c r="A34" s="80"/>
      <c r="B34" s="66"/>
      <c r="C34" s="70">
        <f>1+C32</f>
        <v>9</v>
      </c>
      <c r="D34" s="67" t="s">
        <v>388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.75">
      <c r="A35" s="80"/>
      <c r="B35" s="66"/>
      <c r="C35" s="70"/>
      <c r="D35" s="463" t="s">
        <v>389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.75">
      <c r="A36" s="80"/>
      <c r="B36" s="66"/>
      <c r="C36" s="70"/>
      <c r="D36" s="67" t="s">
        <v>390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.75">
      <c r="A37" s="80"/>
      <c r="B37" s="66"/>
      <c r="C37" s="70"/>
      <c r="D37" s="463" t="s">
        <v>265</v>
      </c>
      <c r="E37" s="67"/>
      <c r="F37" s="67"/>
      <c r="G37" s="668">
        <f>+H7</f>
        <v>2022</v>
      </c>
      <c r="H37" s="66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.75">
      <c r="A38" s="80"/>
      <c r="B38" s="66"/>
      <c r="C38" s="70">
        <f>1+C34</f>
        <v>10</v>
      </c>
      <c r="D38" s="67" t="s">
        <v>391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.75">
      <c r="A39" s="80"/>
      <c r="B39" s="66"/>
      <c r="C39" s="70"/>
      <c r="D39" s="463" t="s">
        <v>392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.75">
      <c r="A40" s="80"/>
      <c r="B40" s="66"/>
      <c r="C40" s="70">
        <f>1+C38</f>
        <v>11</v>
      </c>
      <c r="D40" s="67" t="s">
        <v>393</v>
      </c>
      <c r="E40" s="67"/>
      <c r="F40" s="67"/>
      <c r="G40" s="67"/>
      <c r="H40" s="67"/>
      <c r="I40" s="67"/>
      <c r="J40" s="67"/>
      <c r="L40" s="687">
        <f>+F30-1</f>
        <v>2021</v>
      </c>
      <c r="M40" s="687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.75">
      <c r="A41" s="80"/>
      <c r="B41" s="66"/>
      <c r="C41" s="70"/>
      <c r="D41" s="463" t="s">
        <v>268</v>
      </c>
      <c r="E41" s="67"/>
      <c r="F41" s="620"/>
      <c r="G41" s="620"/>
      <c r="H41" s="620"/>
      <c r="I41" s="621"/>
      <c r="J41" s="622">
        <f>+H7-1</f>
        <v>2021</v>
      </c>
      <c r="K41" s="67" t="s">
        <v>266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.75">
      <c r="A42" s="80"/>
      <c r="B42" s="66"/>
      <c r="C42" s="70"/>
      <c r="D42" s="463" t="s">
        <v>267</v>
      </c>
      <c r="E42" s="67"/>
      <c r="F42" s="620"/>
      <c r="G42" s="686">
        <f>+H7-1</f>
        <v>2021</v>
      </c>
      <c r="H42" s="686"/>
      <c r="I42" s="623" t="s">
        <v>394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.75">
      <c r="A43" s="80"/>
      <c r="B43" s="66"/>
      <c r="C43" s="70"/>
      <c r="D43" s="67" t="s">
        <v>395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.75">
      <c r="A44" s="80"/>
      <c r="B44" s="66"/>
      <c r="C44" s="70"/>
      <c r="D44" s="67" t="s">
        <v>396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.75">
      <c r="A45" s="80"/>
      <c r="B45" s="66"/>
      <c r="C45" s="70">
        <f>1+C40</f>
        <v>12</v>
      </c>
      <c r="D45" s="67" t="s">
        <v>269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.7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.7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.7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.7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.7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.75">
      <c r="A51" s="80"/>
      <c r="B51" s="66"/>
      <c r="C51" s="70"/>
      <c r="D51" s="67" t="s">
        <v>397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.75">
      <c r="A52" s="80"/>
      <c r="B52" s="66"/>
      <c r="C52" s="70">
        <f>1+C50</f>
        <v>15</v>
      </c>
      <c r="D52" s="67" t="s">
        <v>398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.75">
      <c r="A54" s="80"/>
      <c r="B54" s="66"/>
      <c r="C54" s="70"/>
      <c r="D54" s="463" t="s">
        <v>399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.75">
      <c r="A55" s="80"/>
      <c r="B55" s="66"/>
      <c r="C55" s="70"/>
      <c r="D55" s="463" t="s">
        <v>349</v>
      </c>
      <c r="E55" s="67"/>
      <c r="F55" s="67"/>
      <c r="G55" s="67"/>
      <c r="H55" s="67"/>
      <c r="I55" s="67"/>
      <c r="J55" s="624"/>
      <c r="K55" s="673"/>
      <c r="L55" s="673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.75">
      <c r="A56" s="80"/>
      <c r="B56" s="66"/>
      <c r="C56" s="70"/>
      <c r="D56" s="463" t="s">
        <v>400</v>
      </c>
      <c r="E56" s="67"/>
      <c r="F56" s="67"/>
      <c r="G56" s="67"/>
      <c r="H56" s="67"/>
      <c r="I56" s="67"/>
      <c r="J56" s="624"/>
      <c r="K56" s="682">
        <f>+H7</f>
        <v>2022</v>
      </c>
      <c r="L56" s="682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.75">
      <c r="A57" s="80"/>
      <c r="B57" s="66"/>
      <c r="C57" s="70"/>
      <c r="D57" s="463" t="s">
        <v>350</v>
      </c>
      <c r="E57" s="67"/>
      <c r="F57" s="67"/>
      <c r="G57" s="67"/>
      <c r="H57" s="67"/>
      <c r="I57" s="668">
        <f>+H7</f>
        <v>2022</v>
      </c>
      <c r="J57" s="668"/>
      <c r="K57" s="625" t="s">
        <v>401</v>
      </c>
      <c r="L57" s="666">
        <f>+H7</f>
        <v>2022</v>
      </c>
      <c r="M57" s="666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0"/>
      <c r="D59" s="545" t="s">
        <v>304</v>
      </c>
      <c r="E59" s="690">
        <f>+H7</f>
        <v>2022</v>
      </c>
      <c r="F59" s="690"/>
      <c r="G59" s="690"/>
      <c r="H59" s="690"/>
      <c r="I59" s="690"/>
      <c r="J59" s="690"/>
      <c r="K59" s="546" t="s">
        <v>305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0"/>
      <c r="D60" s="548" t="s">
        <v>307</v>
      </c>
      <c r="E60" s="691">
        <f>+H7</f>
        <v>2022</v>
      </c>
      <c r="F60" s="691"/>
      <c r="G60" s="691"/>
      <c r="H60" s="691"/>
      <c r="I60" s="691"/>
      <c r="J60" s="691"/>
      <c r="K60" s="549" t="s">
        <v>306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0"/>
      <c r="D61" s="551" t="s">
        <v>310</v>
      </c>
      <c r="E61" s="684">
        <f>+H7</f>
        <v>2022</v>
      </c>
      <c r="F61" s="684"/>
      <c r="G61" s="684"/>
      <c r="H61" s="684"/>
      <c r="I61" s="684"/>
      <c r="J61" s="684"/>
      <c r="K61" s="552" t="s">
        <v>308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0"/>
      <c r="D63" s="541" t="s">
        <v>353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351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352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.75">
      <c r="A68" s="80"/>
      <c r="B68" s="66"/>
      <c r="C68" s="70"/>
      <c r="D68" s="463" t="s">
        <v>402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.75">
      <c r="A69" s="80"/>
      <c r="B69" s="66"/>
      <c r="C69" s="70"/>
      <c r="D69" s="463" t="s">
        <v>403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.75">
      <c r="A70" s="80"/>
      <c r="B70" s="66"/>
      <c r="C70" s="70"/>
      <c r="D70" s="463" t="s">
        <v>404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.75">
      <c r="A71" s="80"/>
      <c r="B71" s="66"/>
      <c r="C71" s="70"/>
      <c r="D71" s="463" t="s">
        <v>405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.75">
      <c r="A72" s="80"/>
      <c r="B72" s="66"/>
      <c r="C72" s="70"/>
      <c r="D72" s="463" t="s">
        <v>406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.75">
      <c r="A73" s="80"/>
      <c r="B73" s="66"/>
      <c r="C73" s="70"/>
      <c r="D73" s="463" t="s">
        <v>407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.75">
      <c r="A74" s="80"/>
      <c r="B74" s="66"/>
      <c r="C74" s="70"/>
      <c r="D74" s="463" t="s">
        <v>355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.75">
      <c r="A75" s="80"/>
      <c r="B75" s="66"/>
      <c r="C75" s="70"/>
      <c r="D75" s="67" t="s">
        <v>408</v>
      </c>
      <c r="E75" s="67"/>
      <c r="F75" s="67"/>
      <c r="G75" s="67"/>
      <c r="H75" s="626"/>
      <c r="I75" s="669">
        <f>+H7</f>
        <v>2022</v>
      </c>
      <c r="J75" s="669"/>
      <c r="K75" s="67" t="s">
        <v>409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.75">
      <c r="A76" s="80"/>
      <c r="B76" s="66"/>
      <c r="C76" s="70"/>
      <c r="D76" s="463" t="s">
        <v>354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410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.75">
      <c r="A79" s="80"/>
      <c r="B79" s="66"/>
      <c r="C79" s="70"/>
      <c r="D79" s="463" t="s">
        <v>411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.75">
      <c r="A80" s="80"/>
      <c r="B80" s="66"/>
      <c r="C80" s="70"/>
      <c r="D80" s="463" t="s">
        <v>349</v>
      </c>
      <c r="E80" s="67"/>
      <c r="F80" s="67"/>
      <c r="G80" s="67"/>
      <c r="H80" s="67"/>
      <c r="I80" s="67"/>
      <c r="J80" s="624"/>
      <c r="K80" s="673"/>
      <c r="L80" s="673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.75">
      <c r="A81" s="80"/>
      <c r="B81" s="66"/>
      <c r="C81" s="70"/>
      <c r="D81" s="463" t="s">
        <v>400</v>
      </c>
      <c r="E81" s="67"/>
      <c r="F81" s="67"/>
      <c r="G81" s="67"/>
      <c r="H81" s="67"/>
      <c r="I81" s="67"/>
      <c r="J81" s="624"/>
      <c r="K81" s="682">
        <f>+H7</f>
        <v>2022</v>
      </c>
      <c r="L81" s="682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.75">
      <c r="A82" s="80"/>
      <c r="B82" s="66"/>
      <c r="C82" s="70"/>
      <c r="D82" s="463" t="s">
        <v>350</v>
      </c>
      <c r="E82" s="67"/>
      <c r="F82" s="67"/>
      <c r="G82" s="67"/>
      <c r="H82" s="67"/>
      <c r="I82" s="668">
        <f>+H7</f>
        <v>2022</v>
      </c>
      <c r="J82" s="668"/>
      <c r="K82" s="625" t="s">
        <v>412</v>
      </c>
      <c r="L82" s="666">
        <f>+H7</f>
        <v>2022</v>
      </c>
      <c r="M82" s="666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0"/>
      <c r="D84" s="545" t="s">
        <v>304</v>
      </c>
      <c r="E84" s="667">
        <f>+H7</f>
        <v>2022</v>
      </c>
      <c r="F84" s="667"/>
      <c r="G84" s="667"/>
      <c r="H84" s="667"/>
      <c r="I84" s="667"/>
      <c r="J84" s="667"/>
      <c r="K84" s="546" t="s">
        <v>311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0"/>
      <c r="D85" s="548" t="s">
        <v>307</v>
      </c>
      <c r="E85" s="671">
        <f>+H7</f>
        <v>2022</v>
      </c>
      <c r="F85" s="671"/>
      <c r="G85" s="671"/>
      <c r="H85" s="671"/>
      <c r="I85" s="671"/>
      <c r="J85" s="671"/>
      <c r="K85" s="549" t="s">
        <v>312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0"/>
      <c r="D86" s="551" t="s">
        <v>310</v>
      </c>
      <c r="E86" s="672">
        <f>+H7</f>
        <v>2022</v>
      </c>
      <c r="F86" s="672"/>
      <c r="G86" s="672"/>
      <c r="H86" s="672"/>
      <c r="I86" s="672"/>
      <c r="J86" s="672"/>
      <c r="K86" s="552" t="s">
        <v>313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0"/>
      <c r="D88" s="541" t="s">
        <v>356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351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352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.75">
      <c r="A93" s="80"/>
      <c r="B93" s="66"/>
      <c r="C93" s="70">
        <f>1+C52</f>
        <v>16</v>
      </c>
      <c r="D93" s="67" t="s">
        <v>413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.75">
      <c r="A95" s="80"/>
      <c r="B95" s="66"/>
      <c r="C95" s="70"/>
      <c r="D95" s="463" t="s">
        <v>414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.75">
      <c r="A96" s="80"/>
      <c r="B96" s="66"/>
      <c r="C96" s="70"/>
      <c r="D96" s="463" t="s">
        <v>349</v>
      </c>
      <c r="E96" s="67"/>
      <c r="F96" s="67"/>
      <c r="G96" s="67"/>
      <c r="H96" s="67"/>
      <c r="I96" s="67"/>
      <c r="J96" s="624"/>
      <c r="K96" s="673"/>
      <c r="L96" s="673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.75">
      <c r="A97" s="80"/>
      <c r="B97" s="66"/>
      <c r="C97" s="70"/>
      <c r="D97" s="463" t="s">
        <v>400</v>
      </c>
      <c r="E97" s="67"/>
      <c r="F97" s="67"/>
      <c r="G97" s="67"/>
      <c r="H97" s="67"/>
      <c r="I97" s="67"/>
      <c r="J97" s="624"/>
      <c r="K97" s="674">
        <f>+H7-1</f>
        <v>2021</v>
      </c>
      <c r="L97" s="674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.75">
      <c r="A98" s="80"/>
      <c r="B98" s="66"/>
      <c r="C98" s="70"/>
      <c r="D98" s="463" t="s">
        <v>314</v>
      </c>
      <c r="E98" s="67"/>
      <c r="F98" s="67"/>
      <c r="G98" s="67"/>
      <c r="H98" s="67"/>
      <c r="I98" s="681">
        <f>+H7-1</f>
        <v>2021</v>
      </c>
      <c r="J98" s="681"/>
      <c r="K98" s="625" t="s">
        <v>401</v>
      </c>
      <c r="L98" s="666">
        <f>+H7</f>
        <v>2022</v>
      </c>
      <c r="M98" s="666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.75">
      <c r="A100" s="80"/>
      <c r="B100" s="66"/>
      <c r="C100" s="70"/>
      <c r="D100" s="628" t="s">
        <v>415</v>
      </c>
      <c r="E100" s="683">
        <f>+H7-1</f>
        <v>2021</v>
      </c>
      <c r="F100" s="683"/>
      <c r="G100" s="683"/>
      <c r="H100" s="683"/>
      <c r="I100" s="683"/>
      <c r="J100" s="683"/>
      <c r="K100" s="629" t="s">
        <v>416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.75">
      <c r="A101" s="80"/>
      <c r="B101" s="66"/>
      <c r="C101" s="70"/>
      <c r="D101" s="631" t="s">
        <v>417</v>
      </c>
      <c r="E101" s="670">
        <f>+H7-1</f>
        <v>2021</v>
      </c>
      <c r="F101" s="670"/>
      <c r="G101" s="670"/>
      <c r="H101" s="670"/>
      <c r="I101" s="670"/>
      <c r="J101" s="670"/>
      <c r="K101" s="632" t="s">
        <v>418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.75">
      <c r="A102" s="80"/>
      <c r="B102" s="66"/>
      <c r="C102" s="70"/>
      <c r="D102" s="634" t="s">
        <v>419</v>
      </c>
      <c r="E102" s="689">
        <f>+H7-1</f>
        <v>2021</v>
      </c>
      <c r="F102" s="689"/>
      <c r="G102" s="689"/>
      <c r="H102" s="689"/>
      <c r="I102" s="689"/>
      <c r="J102" s="689"/>
      <c r="K102" s="635" t="s">
        <v>420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.75">
      <c r="A104" s="80"/>
      <c r="B104" s="66"/>
      <c r="C104" s="70"/>
      <c r="D104" s="463" t="s">
        <v>421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351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352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.75">
      <c r="A109" s="80"/>
      <c r="B109" s="66"/>
      <c r="C109" s="70"/>
      <c r="D109" s="463" t="s">
        <v>422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.75">
      <c r="A110" s="80"/>
      <c r="B110" s="66"/>
      <c r="C110" s="70"/>
      <c r="D110" s="463" t="s">
        <v>403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.75">
      <c r="A111" s="80"/>
      <c r="B111" s="66"/>
      <c r="C111" s="70"/>
      <c r="D111" s="463" t="s">
        <v>404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.75">
      <c r="A112" s="80"/>
      <c r="B112" s="66"/>
      <c r="C112" s="70"/>
      <c r="D112" s="463" t="s">
        <v>405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.75">
      <c r="A113" s="80"/>
      <c r="B113" s="66"/>
      <c r="C113" s="70"/>
      <c r="D113" s="463" t="s">
        <v>406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.75">
      <c r="A114" s="80"/>
      <c r="B114" s="66"/>
      <c r="C114" s="70"/>
      <c r="D114" s="463" t="s">
        <v>407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.75">
      <c r="A115" s="80"/>
      <c r="B115" s="66"/>
      <c r="C115" s="70"/>
      <c r="D115" s="463" t="s">
        <v>423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315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.75">
      <c r="A116" s="80"/>
      <c r="B116" s="66"/>
      <c r="C116" s="70"/>
      <c r="D116" s="67" t="s">
        <v>408</v>
      </c>
      <c r="E116" s="67"/>
      <c r="F116" s="67"/>
      <c r="G116" s="67"/>
      <c r="H116" s="646"/>
      <c r="I116" s="669">
        <f>+H7</f>
        <v>2022</v>
      </c>
      <c r="J116" s="669"/>
      <c r="K116" s="67" t="s">
        <v>424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.75">
      <c r="A117" s="80"/>
      <c r="B117" s="66"/>
      <c r="C117" s="70"/>
      <c r="D117" s="463" t="s">
        <v>354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410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.75">
      <c r="A120" s="80"/>
      <c r="B120" s="66"/>
      <c r="C120" s="70"/>
      <c r="D120" s="463" t="s">
        <v>425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.75">
      <c r="A121" s="80"/>
      <c r="B121" s="66"/>
      <c r="C121" s="70"/>
      <c r="D121" s="463" t="s">
        <v>349</v>
      </c>
      <c r="E121" s="67"/>
      <c r="F121" s="67"/>
      <c r="G121" s="67"/>
      <c r="H121" s="67"/>
      <c r="I121" s="67"/>
      <c r="J121" s="624"/>
      <c r="K121" s="673"/>
      <c r="L121" s="673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.75">
      <c r="A122" s="80"/>
      <c r="B122" s="66"/>
      <c r="C122" s="70"/>
      <c r="D122" s="463" t="s">
        <v>400</v>
      </c>
      <c r="E122" s="67"/>
      <c r="F122" s="67"/>
      <c r="G122" s="67"/>
      <c r="H122" s="67"/>
      <c r="I122" s="67"/>
      <c r="J122" s="624"/>
      <c r="K122" s="674">
        <f>+H7-1</f>
        <v>2021</v>
      </c>
      <c r="L122" s="674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.75">
      <c r="A123" s="80"/>
      <c r="B123" s="66"/>
      <c r="C123" s="70"/>
      <c r="D123" s="463" t="s">
        <v>314</v>
      </c>
      <c r="E123" s="67"/>
      <c r="F123" s="67"/>
      <c r="G123" s="67"/>
      <c r="H123" s="67"/>
      <c r="I123" s="681">
        <f>+H7-1</f>
        <v>2021</v>
      </c>
      <c r="J123" s="681"/>
      <c r="K123" s="625" t="s">
        <v>412</v>
      </c>
      <c r="L123" s="666">
        <f>+H7</f>
        <v>2022</v>
      </c>
      <c r="M123" s="666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.75">
      <c r="A125" s="64"/>
      <c r="B125" s="66"/>
      <c r="C125" s="70"/>
      <c r="D125" s="554" t="s">
        <v>304</v>
      </c>
      <c r="E125" s="678">
        <f>+H7-1</f>
        <v>2021</v>
      </c>
      <c r="F125" s="678"/>
      <c r="G125" s="678"/>
      <c r="H125" s="678"/>
      <c r="I125" s="678"/>
      <c r="J125" s="678"/>
      <c r="K125" s="555" t="s">
        <v>316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.75">
      <c r="A126" s="64"/>
      <c r="B126" s="66"/>
      <c r="C126" s="70"/>
      <c r="D126" s="557" t="s">
        <v>307</v>
      </c>
      <c r="E126" s="676">
        <f>+H7-1</f>
        <v>2021</v>
      </c>
      <c r="F126" s="676"/>
      <c r="G126" s="676"/>
      <c r="H126" s="676"/>
      <c r="I126" s="676"/>
      <c r="J126" s="676"/>
      <c r="K126" s="558" t="s">
        <v>317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.75">
      <c r="A127" s="64"/>
      <c r="B127" s="66"/>
      <c r="C127" s="70"/>
      <c r="D127" s="560" t="s">
        <v>310</v>
      </c>
      <c r="E127" s="677">
        <f>+H7-1</f>
        <v>2021</v>
      </c>
      <c r="F127" s="677"/>
      <c r="G127" s="677"/>
      <c r="H127" s="677"/>
      <c r="I127" s="677"/>
      <c r="J127" s="677"/>
      <c r="K127" s="561" t="s">
        <v>318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.75">
      <c r="A129" s="80"/>
      <c r="B129" s="66"/>
      <c r="C129" s="70"/>
      <c r="D129" s="647" t="s">
        <v>426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351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352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.75">
      <c r="A134" s="80"/>
      <c r="B134" s="66"/>
      <c r="C134" s="70">
        <f>1+C93</f>
        <v>17</v>
      </c>
      <c r="D134" s="649" t="s">
        <v>335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.75">
      <c r="A135" s="80"/>
      <c r="B135" s="66"/>
      <c r="C135" s="70"/>
      <c r="D135" s="649" t="s">
        <v>427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.75">
      <c r="A136" s="80"/>
      <c r="B136" s="66"/>
      <c r="C136" s="70"/>
      <c r="D136" s="647" t="s">
        <v>336</v>
      </c>
      <c r="E136" s="67"/>
      <c r="F136" s="542"/>
      <c r="G136" s="542"/>
      <c r="H136" s="591"/>
      <c r="I136" s="591"/>
      <c r="J136" s="680">
        <f>+H7</f>
        <v>2022</v>
      </c>
      <c r="K136" s="680"/>
      <c r="L136" s="680"/>
      <c r="M136" s="67" t="s">
        <v>337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.75">
      <c r="A137" s="80"/>
      <c r="B137" s="66"/>
      <c r="C137" s="70"/>
      <c r="D137" s="647" t="s">
        <v>338</v>
      </c>
      <c r="E137" s="67"/>
      <c r="F137" s="67"/>
      <c r="G137" s="67"/>
      <c r="H137" s="692">
        <f>+H7</f>
        <v>2022</v>
      </c>
      <c r="I137" s="692"/>
      <c r="J137" s="67" t="s">
        <v>339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.75">
      <c r="A138" s="80"/>
      <c r="B138" s="66"/>
      <c r="C138" s="70"/>
      <c r="D138" s="649" t="s">
        <v>428</v>
      </c>
      <c r="E138" s="67"/>
      <c r="F138" s="67"/>
      <c r="G138" s="592"/>
      <c r="H138" s="592"/>
      <c r="I138" s="700">
        <f>+H7</f>
        <v>2022</v>
      </c>
      <c r="J138" s="700"/>
      <c r="K138" s="67" t="s">
        <v>340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.75">
      <c r="A140" s="80"/>
      <c r="B140" s="66"/>
      <c r="C140" s="70"/>
      <c r="D140" s="647" t="s">
        <v>429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.75">
      <c r="A141" s="80"/>
      <c r="B141" s="66"/>
      <c r="C141" s="70"/>
      <c r="D141" s="649" t="s">
        <v>430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.75">
      <c r="A143" s="80"/>
      <c r="B143" s="66"/>
      <c r="C143" s="70"/>
      <c r="D143" s="647" t="s">
        <v>431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.75">
      <c r="A144" s="80"/>
      <c r="B144" s="66"/>
      <c r="C144" s="70"/>
      <c r="D144" s="649" t="s">
        <v>348</v>
      </c>
      <c r="E144" s="67"/>
      <c r="F144" s="67"/>
      <c r="G144" s="67"/>
      <c r="H144" s="67"/>
      <c r="I144" s="67"/>
      <c r="J144" s="701">
        <f>+H7</f>
        <v>2022</v>
      </c>
      <c r="K144" s="701"/>
      <c r="L144" s="701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.75">
      <c r="A145" s="80"/>
      <c r="B145" s="66"/>
      <c r="C145" s="70"/>
      <c r="D145" s="647" t="s">
        <v>314</v>
      </c>
      <c r="E145" s="67"/>
      <c r="F145" s="67"/>
      <c r="G145" s="67"/>
      <c r="H145" s="593"/>
      <c r="I145" s="692">
        <f>+H14</f>
        <v>2022</v>
      </c>
      <c r="J145" s="692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.75">
      <c r="A147" s="80"/>
      <c r="B147" s="66"/>
      <c r="C147" s="70"/>
      <c r="D147" s="647" t="s">
        <v>432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.75">
      <c r="A148" s="80"/>
      <c r="B148" s="66"/>
      <c r="C148" s="70"/>
      <c r="D148" s="649" t="s">
        <v>433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.75">
      <c r="A149" s="80"/>
      <c r="B149" s="66"/>
      <c r="C149" s="70"/>
      <c r="D149" s="647" t="s">
        <v>342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.75">
      <c r="A150" s="80"/>
      <c r="B150" s="66"/>
      <c r="C150" s="70"/>
      <c r="D150" s="647" t="s">
        <v>341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.75">
      <c r="A151" s="80"/>
      <c r="B151" s="66"/>
      <c r="C151" s="70"/>
      <c r="D151" s="647" t="s">
        <v>434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.75">
      <c r="A152" s="80"/>
      <c r="B152" s="66"/>
      <c r="C152" s="70"/>
      <c r="D152" s="647" t="s">
        <v>435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.75">
      <c r="A154" s="80"/>
      <c r="B154" s="66"/>
      <c r="C154" s="70"/>
      <c r="D154" s="647" t="s">
        <v>436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.75">
      <c r="A155" s="80"/>
      <c r="B155" s="66"/>
      <c r="C155" s="70"/>
      <c r="D155" s="649" t="s">
        <v>343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.75">
      <c r="A156" s="80"/>
      <c r="B156" s="66"/>
      <c r="C156" s="70"/>
      <c r="D156" s="647" t="s">
        <v>437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.75">
      <c r="A157" s="80"/>
      <c r="B157" s="66"/>
      <c r="C157" s="70"/>
      <c r="D157" s="649" t="s">
        <v>438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.75">
      <c r="A158" s="80"/>
      <c r="B158" s="66"/>
      <c r="C158" s="70"/>
      <c r="D158" s="649" t="s">
        <v>344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.75">
      <c r="A160" s="80"/>
      <c r="B160" s="66"/>
      <c r="C160" s="70"/>
      <c r="D160" s="647" t="s">
        <v>439</v>
      </c>
      <c r="E160" s="67"/>
      <c r="F160" s="67"/>
      <c r="G160" s="67"/>
      <c r="H160" s="67"/>
      <c r="I160" s="67"/>
      <c r="J160" s="67"/>
      <c r="K160" s="675">
        <f>+H7</f>
        <v>2022</v>
      </c>
      <c r="L160" s="675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.75">
      <c r="A161" s="80"/>
      <c r="B161" s="66"/>
      <c r="C161" s="70"/>
      <c r="D161" s="649" t="s">
        <v>440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.75">
      <c r="A162" s="80"/>
      <c r="B162" s="66"/>
      <c r="C162" s="70"/>
      <c r="D162" s="647" t="s">
        <v>347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.75">
      <c r="A164" s="64"/>
      <c r="B164" s="66"/>
      <c r="C164" s="70"/>
      <c r="D164" s="84"/>
      <c r="E164" s="74"/>
      <c r="F164" s="698" t="s">
        <v>345</v>
      </c>
      <c r="G164" s="698"/>
      <c r="H164" s="698"/>
      <c r="I164" s="698"/>
      <c r="J164" s="698"/>
      <c r="K164" s="698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.75">
      <c r="A165" s="64"/>
      <c r="B165" s="66"/>
      <c r="C165" s="70"/>
      <c r="D165" s="541"/>
      <c r="E165" s="74"/>
      <c r="F165" s="698" t="s">
        <v>346</v>
      </c>
      <c r="G165" s="698"/>
      <c r="H165" s="698"/>
      <c r="I165" s="698"/>
      <c r="J165" s="698"/>
      <c r="K165" s="698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.75">
      <c r="A167" s="80"/>
      <c r="B167" s="69" t="s">
        <v>12</v>
      </c>
      <c r="C167" s="73" t="s">
        <v>18</v>
      </c>
      <c r="D167" s="67"/>
      <c r="E167" s="67"/>
      <c r="F167" s="696">
        <f>+'Cash-Flow-2022-Leva'!P5</f>
        <v>2022</v>
      </c>
      <c r="G167" s="696"/>
      <c r="H167" s="696"/>
      <c r="I167" s="696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.75">
      <c r="A168" s="80"/>
      <c r="B168" s="66"/>
      <c r="C168" s="70">
        <f>1+C134</f>
        <v>18</v>
      </c>
      <c r="D168" s="67" t="s">
        <v>19</v>
      </c>
      <c r="E168" s="67"/>
      <c r="F168" s="67"/>
      <c r="G168" s="697">
        <f>+'Cash-Flow-2022-Leva'!P5</f>
        <v>2022</v>
      </c>
      <c r="H168" s="697"/>
      <c r="I168" s="697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.75">
      <c r="A169" s="80"/>
      <c r="B169" s="66"/>
      <c r="C169" s="70"/>
      <c r="D169" s="67" t="s">
        <v>21</v>
      </c>
      <c r="E169" s="67"/>
      <c r="F169" s="669">
        <f>+'Cash-Flow-2022-Leva'!P5</f>
        <v>2022</v>
      </c>
      <c r="G169" s="669"/>
      <c r="H169" s="669"/>
      <c r="I169" s="669"/>
      <c r="J169" s="67" t="s">
        <v>441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.75">
      <c r="A170" s="80"/>
      <c r="B170" s="66"/>
      <c r="C170" s="67"/>
      <c r="D170" s="67" t="s">
        <v>442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.7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.7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.7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.75">
      <c r="A174" s="80"/>
      <c r="B174" s="66"/>
      <c r="C174" s="70"/>
      <c r="D174" s="67" t="s">
        <v>443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357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444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445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446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447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.75">
      <c r="A181" s="80"/>
      <c r="B181" s="66"/>
      <c r="C181" s="70">
        <f>1+C176</f>
        <v>21</v>
      </c>
      <c r="D181" s="90" t="s">
        <v>448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.75">
      <c r="A182" s="80"/>
      <c r="B182" s="66"/>
      <c r="C182" s="70"/>
      <c r="D182" s="90" t="s">
        <v>449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.75">
      <c r="A183" s="80"/>
      <c r="B183" s="66"/>
      <c r="C183" s="70"/>
      <c r="D183" s="90" t="s">
        <v>358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.75">
      <c r="A184" s="80"/>
      <c r="B184" s="66"/>
      <c r="C184" s="70">
        <f>1+C181</f>
        <v>22</v>
      </c>
      <c r="D184" s="90" t="s">
        <v>450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.75">
      <c r="A185" s="80"/>
      <c r="B185" s="66"/>
      <c r="C185" s="70"/>
      <c r="D185" s="90" t="s">
        <v>32</v>
      </c>
      <c r="E185" s="669">
        <f>+'Cash-Flow-2022-Leva'!P5</f>
        <v>2022</v>
      </c>
      <c r="F185" s="669"/>
      <c r="G185" s="669"/>
      <c r="H185" s="669"/>
      <c r="I185" s="90" t="s">
        <v>451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.7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79">
        <f>+'Cash-Flow-2022-Leva'!P5</f>
        <v>2022</v>
      </c>
      <c r="L186" s="679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.75">
      <c r="A188" s="80"/>
      <c r="B188" s="66"/>
      <c r="C188" s="70">
        <f>1+C184</f>
        <v>23</v>
      </c>
      <c r="D188" s="463" t="s">
        <v>452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.75">
      <c r="A189" s="80"/>
      <c r="B189" s="66"/>
      <c r="C189" s="70"/>
      <c r="D189" s="688">
        <f>H7</f>
        <v>2022</v>
      </c>
      <c r="E189" s="688"/>
      <c r="F189" s="654" t="s">
        <v>453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.75">
      <c r="A191" s="64"/>
      <c r="B191" s="66"/>
      <c r="C191" s="70"/>
      <c r="D191" s="84"/>
      <c r="E191" s="74"/>
      <c r="F191" s="698" t="s">
        <v>345</v>
      </c>
      <c r="G191" s="698"/>
      <c r="H191" s="698"/>
      <c r="I191" s="698"/>
      <c r="J191" s="698"/>
      <c r="K191" s="698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.75">
      <c r="A192" s="64"/>
      <c r="B192" s="66"/>
      <c r="C192" s="70"/>
      <c r="D192" s="541"/>
      <c r="E192" s="74"/>
      <c r="F192" s="699">
        <f>+L2</f>
        <v>2022</v>
      </c>
      <c r="G192" s="699"/>
      <c r="H192" s="699"/>
      <c r="I192" s="699"/>
      <c r="J192" s="699"/>
      <c r="K192" s="699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.7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94">
        <f>+'Cash-Flow-2022-Leva'!P5</f>
        <v>2022</v>
      </c>
      <c r="I194" s="694"/>
      <c r="J194" s="694"/>
      <c r="K194" s="85" t="s">
        <v>309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.7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454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.7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.75">
      <c r="A197" s="80"/>
      <c r="B197" s="66"/>
      <c r="C197" s="70"/>
      <c r="D197" s="663" t="s">
        <v>455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.7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.75">
      <c r="A200" s="80"/>
      <c r="B200" s="66"/>
      <c r="C200" s="70">
        <f>1+C194</f>
        <v>25</v>
      </c>
      <c r="D200" s="67" t="s">
        <v>456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457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.7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.7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.75">
      <c r="A204" s="80"/>
      <c r="B204" s="66"/>
      <c r="C204" s="67"/>
      <c r="D204" s="67" t="s">
        <v>458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.75">
      <c r="A205" s="80"/>
      <c r="B205" s="66"/>
      <c r="C205" s="67"/>
      <c r="D205" s="67" t="s">
        <v>459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.7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6.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.7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.7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.7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.7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.7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.7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.7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.7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.7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.7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.7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.7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.7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.7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44" sqref="J14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36" t="s">
        <v>460</v>
      </c>
      <c r="C1" s="737"/>
      <c r="D1" s="737"/>
      <c r="E1" s="737"/>
      <c r="F1" s="738"/>
      <c r="G1" s="433" t="s">
        <v>244</v>
      </c>
      <c r="H1" s="426"/>
      <c r="I1" s="724">
        <v>1210825210299</v>
      </c>
      <c r="J1" s="725"/>
      <c r="K1" s="427"/>
      <c r="L1" s="435" t="s">
        <v>245</v>
      </c>
      <c r="M1" s="431">
        <v>5592</v>
      </c>
      <c r="N1" s="427"/>
      <c r="O1" s="435" t="s">
        <v>239</v>
      </c>
      <c r="P1" s="452"/>
      <c r="Q1" s="428"/>
      <c r="R1" s="344" t="s">
        <v>278</v>
      </c>
      <c r="S1" s="809"/>
      <c r="T1" s="810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56" t="s">
        <v>240</v>
      </c>
      <c r="C2" s="757"/>
      <c r="D2" s="757"/>
      <c r="E2" s="757"/>
      <c r="F2" s="758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40" t="s">
        <v>250</v>
      </c>
      <c r="C3" s="741"/>
      <c r="D3" s="741"/>
      <c r="E3" s="741"/>
      <c r="F3" s="742"/>
      <c r="G3" s="434" t="s">
        <v>238</v>
      </c>
      <c r="H3" s="729"/>
      <c r="I3" s="730"/>
      <c r="J3" s="730"/>
      <c r="K3" s="731"/>
      <c r="L3" s="28" t="s">
        <v>246</v>
      </c>
      <c r="M3" s="726" t="s">
        <v>461</v>
      </c>
      <c r="N3" s="727"/>
      <c r="O3" s="727"/>
      <c r="P3" s="728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04">
        <f>+IF(+O174&gt;0,"НЕРАВНЕНИЕ: Касов отчет - Баланс!",0)</f>
        <v>0</v>
      </c>
      <c r="C5" s="704"/>
      <c r="D5" s="760" t="s">
        <v>243</v>
      </c>
      <c r="E5" s="760"/>
      <c r="F5" s="760"/>
      <c r="G5" s="760"/>
      <c r="H5" s="760"/>
      <c r="I5" s="760"/>
      <c r="J5" s="760"/>
      <c r="K5" s="760"/>
      <c r="L5" s="760"/>
      <c r="M5" s="20"/>
      <c r="N5" s="20"/>
      <c r="O5" s="24" t="s">
        <v>17</v>
      </c>
      <c r="P5" s="450">
        <v>2022</v>
      </c>
      <c r="Q5" s="20"/>
      <c r="R5" s="732" t="s">
        <v>180</v>
      </c>
      <c r="S5" s="732"/>
      <c r="T5" s="732"/>
      <c r="U5" s="15"/>
    </row>
    <row r="6" spans="1:28" s="3" customFormat="1" ht="17.25" customHeight="1">
      <c r="A6" s="15"/>
      <c r="B6" s="705">
        <f>+IF(B5=0,0,P5)</f>
        <v>0</v>
      </c>
      <c r="C6" s="705"/>
      <c r="D6" s="760" t="s">
        <v>242</v>
      </c>
      <c r="E6" s="760"/>
      <c r="F6" s="760"/>
      <c r="G6" s="760"/>
      <c r="H6" s="760"/>
      <c r="I6" s="760"/>
      <c r="J6" s="760"/>
      <c r="K6" s="760"/>
      <c r="L6" s="760"/>
      <c r="M6" s="21"/>
      <c r="N6" s="16"/>
      <c r="O6" s="15"/>
      <c r="P6" s="15"/>
      <c r="Q6" s="13"/>
      <c r="R6" s="759">
        <f>+P4</f>
        <v>0</v>
      </c>
      <c r="S6" s="759"/>
      <c r="T6" s="75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39" t="str">
        <f>+B1</f>
        <v>НОИ-ФОНД ГВРС</v>
      </c>
      <c r="E8" s="739"/>
      <c r="F8" s="739"/>
      <c r="G8" s="739"/>
      <c r="H8" s="739"/>
      <c r="I8" s="739"/>
      <c r="J8" s="739"/>
      <c r="K8" s="739"/>
      <c r="L8" s="739"/>
      <c r="M8" s="432" t="s">
        <v>247</v>
      </c>
      <c r="N8" s="16"/>
      <c r="O8" s="607" t="s">
        <v>367</v>
      </c>
      <c r="P8" s="290" t="s">
        <v>46</v>
      </c>
      <c r="Q8" s="13"/>
      <c r="R8" s="733">
        <f>+P5</f>
        <v>2022</v>
      </c>
      <c r="S8" s="734"/>
      <c r="T8" s="73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47" t="s">
        <v>0</v>
      </c>
      <c r="S10" s="748"/>
      <c r="T10" s="74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30.09.2022 г.</v>
      </c>
      <c r="G11" s="396">
        <f>+P5-1</f>
        <v>2021</v>
      </c>
      <c r="H11" s="15"/>
      <c r="I11" s="604" t="str">
        <f>+O8</f>
        <v>30.09.2022 г.</v>
      </c>
      <c r="J11" s="397">
        <f>+P5-1</f>
        <v>2021</v>
      </c>
      <c r="K11" s="16"/>
      <c r="L11" s="605" t="str">
        <f>+O8</f>
        <v>30.09.2022 г.</v>
      </c>
      <c r="M11" s="398">
        <f>+P5-1</f>
        <v>2021</v>
      </c>
      <c r="N11" s="16"/>
      <c r="O11" s="606" t="str">
        <f>+O8</f>
        <v>30.09.2022 г.</v>
      </c>
      <c r="P11" s="399">
        <f>+P5-1</f>
        <v>2021</v>
      </c>
      <c r="Q11" s="352"/>
      <c r="R11" s="750" t="s">
        <v>181</v>
      </c>
      <c r="S11" s="751"/>
      <c r="T11" s="75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359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360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1283</v>
      </c>
      <c r="G15" s="229">
        <v>8270</v>
      </c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1283</v>
      </c>
      <c r="P15" s="378">
        <f t="shared" si="0"/>
        <v>8270</v>
      </c>
      <c r="Q15" s="31"/>
      <c r="R15" s="753" t="s">
        <v>149</v>
      </c>
      <c r="S15" s="754"/>
      <c r="T15" s="755"/>
      <c r="U15" s="34"/>
      <c r="V15" s="2"/>
      <c r="W15" s="104" t="s">
        <v>361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285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61" t="s">
        <v>286</v>
      </c>
      <c r="S16" s="762"/>
      <c r="T16" s="763"/>
      <c r="U16" s="34"/>
      <c r="V16" s="2"/>
      <c r="W16" s="217" t="s">
        <v>362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287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67" t="s">
        <v>281</v>
      </c>
      <c r="S17" s="768"/>
      <c r="T17" s="769"/>
      <c r="U17" s="34"/>
      <c r="V17" s="2"/>
      <c r="W17" s="215" t="s">
        <v>363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305</v>
      </c>
      <c r="G18" s="229">
        <v>863</v>
      </c>
      <c r="H18" s="15"/>
      <c r="I18" s="230"/>
      <c r="J18" s="229"/>
      <c r="K18" s="227"/>
      <c r="L18" s="230"/>
      <c r="M18" s="229"/>
      <c r="N18" s="227"/>
      <c r="O18" s="365">
        <f t="shared" si="0"/>
        <v>305</v>
      </c>
      <c r="P18" s="378">
        <f t="shared" si="0"/>
        <v>863</v>
      </c>
      <c r="Q18" s="31"/>
      <c r="R18" s="753" t="s">
        <v>150</v>
      </c>
      <c r="S18" s="754"/>
      <c r="T18" s="755"/>
      <c r="U18" s="34"/>
      <c r="V18" s="2"/>
      <c r="W18" s="104" t="s">
        <v>364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764" t="s">
        <v>151</v>
      </c>
      <c r="S19" s="765"/>
      <c r="T19" s="766"/>
      <c r="U19" s="34"/>
      <c r="V19" s="2"/>
      <c r="W19" s="217" t="s">
        <v>365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1"/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0</v>
      </c>
      <c r="Q20" s="31"/>
      <c r="R20" s="764" t="s">
        <v>152</v>
      </c>
      <c r="S20" s="765"/>
      <c r="T20" s="766"/>
      <c r="U20" s="34"/>
      <c r="V20" s="2"/>
      <c r="W20" s="215" t="s">
        <v>366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64" t="s">
        <v>153</v>
      </c>
      <c r="S21" s="765"/>
      <c r="T21" s="766"/>
      <c r="U21" s="34"/>
      <c r="V21" s="2"/>
      <c r="W21" s="104" t="s">
        <v>367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2106701</v>
      </c>
      <c r="G22" s="231">
        <v>2851426</v>
      </c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2106701</v>
      </c>
      <c r="P22" s="412">
        <f t="shared" si="0"/>
        <v>2851426</v>
      </c>
      <c r="Q22" s="31"/>
      <c r="R22" s="764" t="s">
        <v>154</v>
      </c>
      <c r="S22" s="765"/>
      <c r="T22" s="766"/>
      <c r="U22" s="34"/>
      <c r="V22" s="2"/>
      <c r="W22" s="217" t="s">
        <v>368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64" t="s">
        <v>155</v>
      </c>
      <c r="S23" s="765"/>
      <c r="T23" s="766"/>
      <c r="U23" s="34"/>
      <c r="V23" s="2"/>
      <c r="W23" s="215" t="s">
        <v>369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810</v>
      </c>
      <c r="G24" s="233">
        <v>2123</v>
      </c>
      <c r="H24" s="15"/>
      <c r="I24" s="234"/>
      <c r="J24" s="233"/>
      <c r="K24" s="227"/>
      <c r="L24" s="234"/>
      <c r="M24" s="233"/>
      <c r="N24" s="227"/>
      <c r="O24" s="361">
        <f t="shared" si="0"/>
        <v>810</v>
      </c>
      <c r="P24" s="384">
        <f t="shared" si="0"/>
        <v>2123</v>
      </c>
      <c r="Q24" s="31"/>
      <c r="R24" s="770" t="s">
        <v>282</v>
      </c>
      <c r="S24" s="771"/>
      <c r="T24" s="772"/>
      <c r="U24" s="34"/>
      <c r="V24" s="2"/>
      <c r="W24" s="104" t="s">
        <v>370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2109099</v>
      </c>
      <c r="G25" s="235">
        <f>+ROUND(+SUM(G15,G16,G18,G19,G20,G21,G22,G23,G24),0)</f>
        <v>2862682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2109099</v>
      </c>
      <c r="P25" s="363">
        <f>+ROUND(+SUM(P15,P16,P18,P19,P20,P21,P22,P23,P24),0)</f>
        <v>2862682</v>
      </c>
      <c r="Q25" s="31"/>
      <c r="R25" s="773" t="s">
        <v>182</v>
      </c>
      <c r="S25" s="774"/>
      <c r="T25" s="77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53" t="s">
        <v>156</v>
      </c>
      <c r="S27" s="754"/>
      <c r="T27" s="75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764" t="s">
        <v>157</v>
      </c>
      <c r="S28" s="765"/>
      <c r="T28" s="76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70" t="s">
        <v>158</v>
      </c>
      <c r="S29" s="771"/>
      <c r="T29" s="77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773" t="s">
        <v>183</v>
      </c>
      <c r="S30" s="774"/>
      <c r="T30" s="77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/>
      <c r="G37" s="247"/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0</v>
      </c>
      <c r="P37" s="363">
        <f t="shared" si="2"/>
        <v>0</v>
      </c>
      <c r="Q37" s="31"/>
      <c r="R37" s="773" t="s">
        <v>184</v>
      </c>
      <c r="S37" s="774"/>
      <c r="T37" s="77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76" t="s">
        <v>159</v>
      </c>
      <c r="S38" s="777"/>
      <c r="T38" s="77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/>
      <c r="G39" s="251"/>
      <c r="H39" s="15"/>
      <c r="I39" s="252"/>
      <c r="J39" s="251"/>
      <c r="K39" s="227"/>
      <c r="L39" s="252"/>
      <c r="M39" s="251"/>
      <c r="N39" s="227"/>
      <c r="O39" s="376">
        <f t="shared" si="2"/>
        <v>0</v>
      </c>
      <c r="P39" s="414">
        <f t="shared" si="2"/>
        <v>0</v>
      </c>
      <c r="Q39" s="31"/>
      <c r="R39" s="779" t="s">
        <v>160</v>
      </c>
      <c r="S39" s="780"/>
      <c r="T39" s="78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82" t="s">
        <v>161</v>
      </c>
      <c r="S40" s="783"/>
      <c r="T40" s="78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0</v>
      </c>
      <c r="Q42" s="31"/>
      <c r="R42" s="773" t="s">
        <v>185</v>
      </c>
      <c r="S42" s="774"/>
      <c r="T42" s="77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753" t="s">
        <v>162</v>
      </c>
      <c r="S44" s="754"/>
      <c r="T44" s="75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64" t="s">
        <v>163</v>
      </c>
      <c r="S45" s="765"/>
      <c r="T45" s="76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64" t="s">
        <v>164</v>
      </c>
      <c r="S46" s="765"/>
      <c r="T46" s="76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70" t="s">
        <v>165</v>
      </c>
      <c r="S47" s="771"/>
      <c r="T47" s="77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773" t="s">
        <v>186</v>
      </c>
      <c r="S48" s="774"/>
      <c r="T48" s="77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2109099</v>
      </c>
      <c r="G50" s="257">
        <f>+ROUND(G25+G30+G37+G42+G48,0)</f>
        <v>2862682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2109099</v>
      </c>
      <c r="P50" s="380">
        <f>+ROUND(P25+P30+P37+P42+P48,0)</f>
        <v>2862682</v>
      </c>
      <c r="Q50" s="106"/>
      <c r="R50" s="785" t="s">
        <v>187</v>
      </c>
      <c r="S50" s="786"/>
      <c r="T50" s="78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48631</v>
      </c>
      <c r="G53" s="259">
        <v>91565</v>
      </c>
      <c r="H53" s="15"/>
      <c r="I53" s="260"/>
      <c r="J53" s="259"/>
      <c r="K53" s="227"/>
      <c r="L53" s="260"/>
      <c r="M53" s="259"/>
      <c r="N53" s="227"/>
      <c r="O53" s="366">
        <f aca="true" t="shared" si="4" ref="O53:P57">+ROUND(+F53+I53+L53,0)</f>
        <v>48631</v>
      </c>
      <c r="P53" s="359">
        <f t="shared" si="4"/>
        <v>91565</v>
      </c>
      <c r="Q53" s="31"/>
      <c r="R53" s="753" t="s">
        <v>188</v>
      </c>
      <c r="S53" s="754"/>
      <c r="T53" s="75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15000</v>
      </c>
      <c r="G54" s="233">
        <v>23844</v>
      </c>
      <c r="H54" s="15"/>
      <c r="I54" s="234"/>
      <c r="J54" s="233"/>
      <c r="K54" s="227"/>
      <c r="L54" s="234"/>
      <c r="M54" s="233"/>
      <c r="N54" s="227"/>
      <c r="O54" s="361">
        <f t="shared" si="4"/>
        <v>15000</v>
      </c>
      <c r="P54" s="384">
        <f t="shared" si="4"/>
        <v>23844</v>
      </c>
      <c r="Q54" s="31"/>
      <c r="R54" s="764" t="s">
        <v>166</v>
      </c>
      <c r="S54" s="765"/>
      <c r="T54" s="76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1210</v>
      </c>
      <c r="G55" s="233">
        <v>2432</v>
      </c>
      <c r="H55" s="15"/>
      <c r="I55" s="234"/>
      <c r="J55" s="233"/>
      <c r="K55" s="227"/>
      <c r="L55" s="234"/>
      <c r="M55" s="233"/>
      <c r="N55" s="227"/>
      <c r="O55" s="361">
        <f t="shared" si="4"/>
        <v>1210</v>
      </c>
      <c r="P55" s="384">
        <f t="shared" si="4"/>
        <v>2432</v>
      </c>
      <c r="Q55" s="31"/>
      <c r="R55" s="764" t="s">
        <v>167</v>
      </c>
      <c r="S55" s="765"/>
      <c r="T55" s="76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69237</v>
      </c>
      <c r="G56" s="233">
        <v>94049</v>
      </c>
      <c r="H56" s="15"/>
      <c r="I56" s="234"/>
      <c r="J56" s="233"/>
      <c r="K56" s="227"/>
      <c r="L56" s="234"/>
      <c r="M56" s="233"/>
      <c r="N56" s="227"/>
      <c r="O56" s="361">
        <f t="shared" si="4"/>
        <v>69237</v>
      </c>
      <c r="P56" s="384">
        <f t="shared" si="4"/>
        <v>94049</v>
      </c>
      <c r="Q56" s="31"/>
      <c r="R56" s="764" t="s">
        <v>168</v>
      </c>
      <c r="S56" s="765"/>
      <c r="T56" s="76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7824</v>
      </c>
      <c r="G57" s="233">
        <v>4146</v>
      </c>
      <c r="H57" s="15"/>
      <c r="I57" s="234"/>
      <c r="J57" s="233"/>
      <c r="K57" s="227"/>
      <c r="L57" s="234"/>
      <c r="M57" s="233"/>
      <c r="N57" s="227"/>
      <c r="O57" s="361">
        <f t="shared" si="4"/>
        <v>7824</v>
      </c>
      <c r="P57" s="384">
        <f t="shared" si="4"/>
        <v>4146</v>
      </c>
      <c r="Q57" s="31"/>
      <c r="R57" s="770" t="s">
        <v>169</v>
      </c>
      <c r="S57" s="771"/>
      <c r="T57" s="77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141902</v>
      </c>
      <c r="G58" s="261">
        <f>+ROUND(+SUM(G53:G57),0)</f>
        <v>216036</v>
      </c>
      <c r="H58" s="15"/>
      <c r="I58" s="262">
        <f>+ROUND(+SUM(I53:I57),0)</f>
        <v>0</v>
      </c>
      <c r="J58" s="261">
        <f>+ROUND(+SUM(J53:J57),0)</f>
        <v>0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141902</v>
      </c>
      <c r="P58" s="382">
        <f>+ROUND(+SUM(P53:P57),0)</f>
        <v>216036</v>
      </c>
      <c r="Q58" s="31"/>
      <c r="R58" s="773" t="s">
        <v>189</v>
      </c>
      <c r="S58" s="774"/>
      <c r="T58" s="77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53" t="s">
        <v>170</v>
      </c>
      <c r="S60" s="754"/>
      <c r="T60" s="75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/>
      <c r="G61" s="233"/>
      <c r="H61" s="15"/>
      <c r="I61" s="234"/>
      <c r="J61" s="233"/>
      <c r="K61" s="227"/>
      <c r="L61" s="234"/>
      <c r="M61" s="233"/>
      <c r="N61" s="227"/>
      <c r="O61" s="361">
        <f t="shared" si="5"/>
        <v>0</v>
      </c>
      <c r="P61" s="384">
        <f t="shared" si="5"/>
        <v>0</v>
      </c>
      <c r="Q61" s="31"/>
      <c r="R61" s="764" t="s">
        <v>171</v>
      </c>
      <c r="S61" s="765"/>
      <c r="T61" s="76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/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0</v>
      </c>
      <c r="Q62" s="31"/>
      <c r="R62" s="764" t="s">
        <v>172</v>
      </c>
      <c r="S62" s="765"/>
      <c r="T62" s="76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70" t="s">
        <v>190</v>
      </c>
      <c r="S63" s="771"/>
      <c r="T63" s="77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0</v>
      </c>
      <c r="G65" s="261">
        <f>+ROUND(+SUM(G60:G63),0)</f>
        <v>0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0</v>
      </c>
      <c r="P65" s="382">
        <f>+ROUND(+SUM(P60:P63),0)</f>
        <v>0</v>
      </c>
      <c r="Q65" s="31"/>
      <c r="R65" s="773" t="s">
        <v>192</v>
      </c>
      <c r="S65" s="774"/>
      <c r="T65" s="77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53" t="s">
        <v>173</v>
      </c>
      <c r="S67" s="754"/>
      <c r="T67" s="75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64" t="s">
        <v>174</v>
      </c>
      <c r="S68" s="765"/>
      <c r="T68" s="76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73" t="s">
        <v>193</v>
      </c>
      <c r="S69" s="774"/>
      <c r="T69" s="77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908212</v>
      </c>
      <c r="G71" s="259">
        <v>3663051</v>
      </c>
      <c r="H71" s="15"/>
      <c r="I71" s="260"/>
      <c r="J71" s="259"/>
      <c r="K71" s="227"/>
      <c r="L71" s="260"/>
      <c r="M71" s="259"/>
      <c r="N71" s="227"/>
      <c r="O71" s="366">
        <f>+ROUND(+F71+I71+L71,0)</f>
        <v>908212</v>
      </c>
      <c r="P71" s="359">
        <f>+ROUND(+G71+J71+M71,0)</f>
        <v>3663051</v>
      </c>
      <c r="Q71" s="31"/>
      <c r="R71" s="753" t="s">
        <v>175</v>
      </c>
      <c r="S71" s="754"/>
      <c r="T71" s="75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64" t="s">
        <v>176</v>
      </c>
      <c r="S72" s="765"/>
      <c r="T72" s="76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908212</v>
      </c>
      <c r="G73" s="261">
        <f>+ROUND(+SUM(G71:G72),0)</f>
        <v>3663051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908212</v>
      </c>
      <c r="P73" s="382">
        <f>+ROUND(+SUM(P71:P72),0)</f>
        <v>3663051</v>
      </c>
      <c r="Q73" s="31"/>
      <c r="R73" s="773" t="s">
        <v>194</v>
      </c>
      <c r="S73" s="774"/>
      <c r="T73" s="77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753" t="s">
        <v>177</v>
      </c>
      <c r="S75" s="754"/>
      <c r="T75" s="75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64" t="s">
        <v>195</v>
      </c>
      <c r="S76" s="765"/>
      <c r="T76" s="76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773" t="s">
        <v>196</v>
      </c>
      <c r="S77" s="774"/>
      <c r="T77" s="77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1050114</v>
      </c>
      <c r="G79" s="272">
        <f>+ROUND(G58+G65+G69+G73+G77,0)</f>
        <v>3879087</v>
      </c>
      <c r="H79" s="15"/>
      <c r="I79" s="269">
        <f>+ROUND(I58+I65+I69+I73+I77,0)</f>
        <v>0</v>
      </c>
      <c r="J79" s="272">
        <f>+ROUND(J58+J65+J69+J73+J77,0)</f>
        <v>0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1050114</v>
      </c>
      <c r="P79" s="392">
        <f>+ROUND(P58+P65+P69+P73+P77,0)</f>
        <v>3879087</v>
      </c>
      <c r="Q79" s="31"/>
      <c r="R79" s="788" t="s">
        <v>197</v>
      </c>
      <c r="S79" s="789"/>
      <c r="T79" s="79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6022</v>
      </c>
      <c r="G81" s="229"/>
      <c r="H81" s="15"/>
      <c r="I81" s="230"/>
      <c r="J81" s="229"/>
      <c r="K81" s="227"/>
      <c r="L81" s="230"/>
      <c r="M81" s="229"/>
      <c r="N81" s="227"/>
      <c r="O81" s="365">
        <f>+ROUND(+F81+I81+L81,0)</f>
        <v>6022</v>
      </c>
      <c r="P81" s="378">
        <f>+ROUND(+G81+J81+M81,0)</f>
        <v>0</v>
      </c>
      <c r="Q81" s="31"/>
      <c r="R81" s="753" t="s">
        <v>178</v>
      </c>
      <c r="S81" s="754"/>
      <c r="T81" s="75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64" t="s">
        <v>179</v>
      </c>
      <c r="S82" s="765"/>
      <c r="T82" s="76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6022</v>
      </c>
      <c r="G83" s="270">
        <f>+ROUND(G81+G82,0)</f>
        <v>0</v>
      </c>
      <c r="H83" s="15"/>
      <c r="I83" s="271">
        <f>+ROUND(I81+I82,0)</f>
        <v>0</v>
      </c>
      <c r="J83" s="270">
        <f>+ROUND(J81+J82,0)</f>
        <v>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6022</v>
      </c>
      <c r="P83" s="387">
        <f>+ROUND(P81+P82,0)</f>
        <v>0</v>
      </c>
      <c r="Q83" s="31"/>
      <c r="R83" s="791" t="s">
        <v>198</v>
      </c>
      <c r="S83" s="792"/>
      <c r="T83" s="79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4"/>
      <c r="D84" s="745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1065007</v>
      </c>
      <c r="G85" s="291">
        <f>+ROUND(G50,0)-ROUND(G79,0)+ROUND(G83,0)</f>
        <v>-1016405</v>
      </c>
      <c r="H85" s="15"/>
      <c r="I85" s="292">
        <f>+ROUND(I50,0)-ROUND(I79,0)+ROUND(I83,0)</f>
        <v>0</v>
      </c>
      <c r="J85" s="291">
        <f>+ROUND(J50,0)-ROUND(J79,0)+ROUND(J83,0)</f>
        <v>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1065007</v>
      </c>
      <c r="P85" s="389">
        <f>+ROUND(P50,0)-ROUND(P79,0)+ROUND(P83,0)</f>
        <v>-1016405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-1065007</v>
      </c>
      <c r="G86" s="293">
        <f>+ROUND(G103,0)+ROUND(G122,0)+ROUND(G129,0)-ROUND(G134,0)</f>
        <v>1016405</v>
      </c>
      <c r="H86" s="15"/>
      <c r="I86" s="294">
        <f>+ROUND(I103,0)+ROUND(I122,0)+ROUND(I129,0)-ROUND(I134,0)</f>
        <v>0</v>
      </c>
      <c r="J86" s="293">
        <f>+ROUND(J103,0)+ROUND(J122,0)+ROUND(J129,0)-ROUND(J134,0)</f>
        <v>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-1065007</v>
      </c>
      <c r="P86" s="391">
        <f>+ROUND(P103,0)+ROUND(P122,0)+ROUND(P129,0)-ROUND(P134,0)</f>
        <v>1016405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53" t="s">
        <v>199</v>
      </c>
      <c r="S89" s="754"/>
      <c r="T89" s="75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64" t="s">
        <v>200</v>
      </c>
      <c r="S90" s="765"/>
      <c r="T90" s="76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73" t="s">
        <v>201</v>
      </c>
      <c r="S91" s="774"/>
      <c r="T91" s="77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53" t="s">
        <v>202</v>
      </c>
      <c r="S93" s="754"/>
      <c r="T93" s="75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64" t="s">
        <v>203</v>
      </c>
      <c r="S94" s="765"/>
      <c r="T94" s="76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279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64" t="s">
        <v>204</v>
      </c>
      <c r="S95" s="765"/>
      <c r="T95" s="76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70" t="s">
        <v>205</v>
      </c>
      <c r="S96" s="771"/>
      <c r="T96" s="77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73" t="s">
        <v>206</v>
      </c>
      <c r="S97" s="774"/>
      <c r="T97" s="77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>
        <v>-18506317</v>
      </c>
      <c r="G99" s="229">
        <v>1068361</v>
      </c>
      <c r="H99" s="15"/>
      <c r="I99" s="230"/>
      <c r="J99" s="229"/>
      <c r="K99" s="227"/>
      <c r="L99" s="230"/>
      <c r="M99" s="229"/>
      <c r="N99" s="227"/>
      <c r="O99" s="365">
        <f>+ROUND(+F99+I99+L99,0)</f>
        <v>-18506317</v>
      </c>
      <c r="P99" s="378">
        <f>+ROUND(+G99+J99+M99,0)</f>
        <v>1068361</v>
      </c>
      <c r="Q99" s="31"/>
      <c r="R99" s="753" t="s">
        <v>207</v>
      </c>
      <c r="S99" s="754"/>
      <c r="T99" s="75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764" t="s">
        <v>208</v>
      </c>
      <c r="S100" s="765"/>
      <c r="T100" s="76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-18506317</v>
      </c>
      <c r="G101" s="235">
        <f>+ROUND(+SUM(G99:G100),0)</f>
        <v>1068361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-18506317</v>
      </c>
      <c r="P101" s="363">
        <f>+ROUND(+SUM(P99:P100),0)</f>
        <v>1068361</v>
      </c>
      <c r="Q101" s="31"/>
      <c r="R101" s="773" t="s">
        <v>209</v>
      </c>
      <c r="S101" s="774"/>
      <c r="T101" s="77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-18506317</v>
      </c>
      <c r="G103" s="257">
        <f>+ROUND(G91+G97+G101,0)</f>
        <v>1068361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-18506317</v>
      </c>
      <c r="P103" s="380">
        <f>+ROUND(P91+P97+P101,0)</f>
        <v>1068361</v>
      </c>
      <c r="Q103" s="106"/>
      <c r="R103" s="785" t="s">
        <v>210</v>
      </c>
      <c r="S103" s="786"/>
      <c r="T103" s="78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53" t="s">
        <v>211</v>
      </c>
      <c r="S106" s="754"/>
      <c r="T106" s="75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64" t="s">
        <v>212</v>
      </c>
      <c r="S107" s="765"/>
      <c r="T107" s="76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73" t="s">
        <v>213</v>
      </c>
      <c r="S108" s="774"/>
      <c r="T108" s="77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800" t="s">
        <v>214</v>
      </c>
      <c r="S110" s="801"/>
      <c r="T110" s="8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803" t="s">
        <v>215</v>
      </c>
      <c r="S111" s="804"/>
      <c r="T111" s="8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73" t="s">
        <v>216</v>
      </c>
      <c r="S112" s="774"/>
      <c r="T112" s="77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53" t="s">
        <v>217</v>
      </c>
      <c r="S114" s="754"/>
      <c r="T114" s="75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64" t="s">
        <v>218</v>
      </c>
      <c r="S115" s="765"/>
      <c r="T115" s="76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73" t="s">
        <v>219</v>
      </c>
      <c r="S116" s="774"/>
      <c r="T116" s="77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/>
      <c r="M118" s="259"/>
      <c r="N118" s="227"/>
      <c r="O118" s="366">
        <f>+ROUND(+F118+I118+L118,0)</f>
        <v>0</v>
      </c>
      <c r="P118" s="359">
        <f>+ROUND(+G118+J118+M118,0)</f>
        <v>0</v>
      </c>
      <c r="Q118" s="31"/>
      <c r="R118" s="753" t="s">
        <v>220</v>
      </c>
      <c r="S118" s="754"/>
      <c r="T118" s="75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64" t="s">
        <v>221</v>
      </c>
      <c r="S119" s="765"/>
      <c r="T119" s="76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0</v>
      </c>
      <c r="M120" s="261">
        <f>+ROUND(+SUM(M118:M119),0)</f>
        <v>0</v>
      </c>
      <c r="N120" s="227"/>
      <c r="O120" s="381">
        <f>+ROUND(+SUM(O118:O119),0)</f>
        <v>0</v>
      </c>
      <c r="P120" s="382">
        <f>+ROUND(+SUM(P118:P119),0)</f>
        <v>0</v>
      </c>
      <c r="Q120" s="31"/>
      <c r="R120" s="773" t="s">
        <v>222</v>
      </c>
      <c r="S120" s="774"/>
      <c r="T120" s="77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0</v>
      </c>
      <c r="M122" s="272">
        <f>+ROUND(M108+M112+M116+M120,0)</f>
        <v>0</v>
      </c>
      <c r="N122" s="227"/>
      <c r="O122" s="385">
        <f>+ROUND(O108+O112+O116+O120,0)</f>
        <v>0</v>
      </c>
      <c r="P122" s="392">
        <f>+ROUND(P108+P112+P116+P120,0)</f>
        <v>0</v>
      </c>
      <c r="Q122" s="31"/>
      <c r="R122" s="788" t="s">
        <v>223</v>
      </c>
      <c r="S122" s="789"/>
      <c r="T122" s="79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53" t="s">
        <v>224</v>
      </c>
      <c r="S124" s="754"/>
      <c r="T124" s="75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476</v>
      </c>
      <c r="G125" s="233">
        <v>-75</v>
      </c>
      <c r="H125" s="15"/>
      <c r="I125" s="234"/>
      <c r="J125" s="233"/>
      <c r="K125" s="227"/>
      <c r="L125" s="234"/>
      <c r="M125" s="233"/>
      <c r="N125" s="227"/>
      <c r="O125" s="361">
        <f t="shared" si="7"/>
        <v>476</v>
      </c>
      <c r="P125" s="384">
        <f t="shared" si="7"/>
        <v>-75</v>
      </c>
      <c r="Q125" s="31"/>
      <c r="R125" s="764" t="s">
        <v>225</v>
      </c>
      <c r="S125" s="765"/>
      <c r="T125" s="76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-10659</v>
      </c>
      <c r="G126" s="233">
        <v>10</v>
      </c>
      <c r="H126" s="15"/>
      <c r="I126" s="234"/>
      <c r="J126" s="233"/>
      <c r="K126" s="227"/>
      <c r="L126" s="234"/>
      <c r="M126" s="233"/>
      <c r="N126" s="227"/>
      <c r="O126" s="361">
        <f t="shared" si="7"/>
        <v>-10659</v>
      </c>
      <c r="P126" s="384">
        <f t="shared" si="7"/>
        <v>10</v>
      </c>
      <c r="Q126" s="31"/>
      <c r="R126" s="794" t="s">
        <v>288</v>
      </c>
      <c r="S126" s="795"/>
      <c r="T126" s="79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283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806" t="s">
        <v>284</v>
      </c>
      <c r="S127" s="807"/>
      <c r="T127" s="80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97" t="s">
        <v>226</v>
      </c>
      <c r="S128" s="798"/>
      <c r="T128" s="79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-10183</v>
      </c>
      <c r="G129" s="270">
        <f>+ROUND(+SUM(G124,G125,G126,G128),0)</f>
        <v>-65</v>
      </c>
      <c r="H129" s="15"/>
      <c r="I129" s="271">
        <f>+ROUND(+SUM(I124,I125,I126,I128),0)</f>
        <v>0</v>
      </c>
      <c r="J129" s="270">
        <f>+ROUND(+SUM(J124,J125,J126,J128),0)</f>
        <v>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-10183</v>
      </c>
      <c r="P129" s="387">
        <f>+ROUND(+SUM(P124,P125,P126,P128),0)</f>
        <v>-65</v>
      </c>
      <c r="Q129" s="31"/>
      <c r="R129" s="791" t="s">
        <v>227</v>
      </c>
      <c r="S129" s="792"/>
      <c r="T129" s="79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294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100674184</v>
      </c>
      <c r="G131" s="229">
        <v>100622293</v>
      </c>
      <c r="H131" s="15"/>
      <c r="I131" s="230"/>
      <c r="J131" s="229"/>
      <c r="K131" s="227"/>
      <c r="L131" s="230"/>
      <c r="M131" s="229"/>
      <c r="N131" s="227"/>
      <c r="O131" s="365">
        <f aca="true" t="shared" si="8" ref="O131:P133">+ROUND(+F131+I131+L131,0)</f>
        <v>100674184</v>
      </c>
      <c r="P131" s="378">
        <f t="shared" si="8"/>
        <v>100622293</v>
      </c>
      <c r="Q131" s="31"/>
      <c r="R131" s="753" t="s">
        <v>228</v>
      </c>
      <c r="S131" s="754"/>
      <c r="T131" s="75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293</v>
      </c>
      <c r="C132" s="152"/>
      <c r="D132" s="153"/>
      <c r="E132" s="15"/>
      <c r="F132" s="234">
        <v>0</v>
      </c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64" t="s">
        <v>229</v>
      </c>
      <c r="S132" s="765"/>
      <c r="T132" s="76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83222691</v>
      </c>
      <c r="G133" s="233">
        <v>100674184</v>
      </c>
      <c r="H133" s="15"/>
      <c r="I133" s="234"/>
      <c r="J133" s="233"/>
      <c r="K133" s="227"/>
      <c r="L133" s="234"/>
      <c r="M133" s="233"/>
      <c r="N133" s="227"/>
      <c r="O133" s="361">
        <f t="shared" si="8"/>
        <v>83222691</v>
      </c>
      <c r="P133" s="384">
        <f t="shared" si="8"/>
        <v>100674184</v>
      </c>
      <c r="Q133" s="31"/>
      <c r="R133" s="814" t="s">
        <v>230</v>
      </c>
      <c r="S133" s="815"/>
      <c r="T133" s="81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295</v>
      </c>
      <c r="C134" s="178"/>
      <c r="D134" s="179"/>
      <c r="E134" s="15"/>
      <c r="F134" s="276">
        <f>+ROUND(+F133-F131-F132,0)</f>
        <v>-17451493</v>
      </c>
      <c r="G134" s="275">
        <f>+ROUND(+G133-G131-G132,0)</f>
        <v>51891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0</v>
      </c>
      <c r="M134" s="275">
        <f>+ROUND(+M133-M131-M132,0)</f>
        <v>0</v>
      </c>
      <c r="N134" s="227"/>
      <c r="O134" s="394">
        <f>+ROUND(+O133-O131-O132,0)</f>
        <v>-17451493</v>
      </c>
      <c r="P134" s="395">
        <f>+ROUND(+P133-P131-P132,0)</f>
        <v>51891</v>
      </c>
      <c r="Q134" s="31"/>
      <c r="R134" s="811" t="s">
        <v>297</v>
      </c>
      <c r="S134" s="812"/>
      <c r="T134" s="81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6"/>
      <c r="D135" s="746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296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291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06" t="s">
        <v>323</v>
      </c>
      <c r="S137" s="707"/>
      <c r="T137" s="70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299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09" t="s">
        <v>320</v>
      </c>
      <c r="S138" s="710"/>
      <c r="T138" s="71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292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12" t="s">
        <v>319</v>
      </c>
      <c r="S139" s="713"/>
      <c r="T139" s="71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324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15" t="s">
        <v>298</v>
      </c>
      <c r="S140" s="716"/>
      <c r="T140" s="71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303</v>
      </c>
      <c r="C142" s="536"/>
      <c r="D142" s="537"/>
      <c r="E142" s="15"/>
      <c r="F142" s="538">
        <f>+F134+F140</f>
        <v>-17451493</v>
      </c>
      <c r="G142" s="539">
        <f>+G134+G140</f>
        <v>51891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0</v>
      </c>
      <c r="M142" s="539">
        <f>+M134+M140</f>
        <v>0</v>
      </c>
      <c r="N142" s="227"/>
      <c r="O142" s="394">
        <f>+O134+O140</f>
        <v>-17451493</v>
      </c>
      <c r="P142" s="395">
        <f>+P134+P140</f>
        <v>51891</v>
      </c>
      <c r="Q142" s="31"/>
      <c r="R142" s="718" t="s">
        <v>300</v>
      </c>
      <c r="S142" s="719"/>
      <c r="T142" s="72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21102022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21" t="s">
        <v>463</v>
      </c>
      <c r="G148" s="722"/>
      <c r="H148" s="722"/>
      <c r="I148" s="723"/>
      <c r="J148" s="346"/>
      <c r="K148" s="16"/>
      <c r="L148" s="346" t="s">
        <v>234</v>
      </c>
      <c r="M148" s="721" t="s">
        <v>462</v>
      </c>
      <c r="N148" s="722"/>
      <c r="O148" s="722"/>
      <c r="P148" s="72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274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275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276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277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328</v>
      </c>
      <c r="G159" s="569" t="s">
        <v>328</v>
      </c>
      <c r="I159" s="571" t="s">
        <v>325</v>
      </c>
      <c r="J159" s="573" t="s">
        <v>325</v>
      </c>
      <c r="K159" s="11"/>
      <c r="L159" s="574" t="s">
        <v>326</v>
      </c>
      <c r="M159" s="575" t="s">
        <v>326</v>
      </c>
      <c r="N159" s="11"/>
      <c r="O159" s="587" t="s">
        <v>327</v>
      </c>
      <c r="P159" s="588" t="s">
        <v>327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333</v>
      </c>
      <c r="C160" s="566"/>
      <c r="D160" s="567"/>
      <c r="F160" s="579">
        <f>+F133+F139</f>
        <v>83222691</v>
      </c>
      <c r="G160" s="580">
        <f>+G133+G139</f>
        <v>100674184</v>
      </c>
      <c r="I160" s="579">
        <f>+I133+I139</f>
        <v>0</v>
      </c>
      <c r="J160" s="580">
        <f>+J133+J139</f>
        <v>0</v>
      </c>
      <c r="K160" s="227"/>
      <c r="L160" s="579">
        <f>+L133+L139</f>
        <v>0</v>
      </c>
      <c r="M160" s="580">
        <f>+M133+M139</f>
        <v>0</v>
      </c>
      <c r="N160" s="227"/>
      <c r="O160" s="583">
        <f>+ROUND(+F160+I160+L160,0)</f>
        <v>83222691</v>
      </c>
      <c r="P160" s="584">
        <f>+ROUND(+G160+J160+M160,0)</f>
        <v>100674184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329</v>
      </c>
      <c r="C161" s="702">
        <f>+'Cash-Flow-2022-Leva'!P5</f>
        <v>2022</v>
      </c>
      <c r="D161" s="703"/>
      <c r="F161" s="576">
        <v>83222691</v>
      </c>
      <c r="G161" s="577">
        <v>100674184</v>
      </c>
      <c r="I161" s="576"/>
      <c r="J161" s="577"/>
      <c r="K161" s="227"/>
      <c r="L161" s="576"/>
      <c r="M161" s="577"/>
      <c r="N161" s="227"/>
      <c r="O161" s="585">
        <f>+ROUND(+F161+I161+L161,0)</f>
        <v>83222691</v>
      </c>
      <c r="P161" s="586">
        <f>+ROUND(+G161+J161+M161,0)</f>
        <v>100674184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30.09.2022 г.</v>
      </c>
      <c r="G162" s="570">
        <f>+G11</f>
        <v>2021</v>
      </c>
      <c r="I162" s="609" t="str">
        <f>+I11</f>
        <v>30.09.2022 г.</v>
      </c>
      <c r="J162" s="572">
        <f>+J11</f>
        <v>2021</v>
      </c>
      <c r="K162" s="11"/>
      <c r="L162" s="610" t="str">
        <f>+L11</f>
        <v>30.09.2022 г.</v>
      </c>
      <c r="M162" s="575">
        <f>+M11</f>
        <v>2021</v>
      </c>
      <c r="N162" s="11"/>
      <c r="O162" s="611" t="str">
        <f>+O11</f>
        <v>30.09.2022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330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334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81" t="s">
        <v>331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332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818">
        <f>+IF(F171&gt;0,"БЮДЖЕТ",0)</f>
        <v>0</v>
      </c>
      <c r="G170" s="818"/>
      <c r="I170" s="818">
        <f>+IF(I171&gt;0,"СЕС",0)</f>
        <v>0</v>
      </c>
      <c r="J170" s="818"/>
      <c r="K170" s="11"/>
      <c r="L170" s="818">
        <f>+IF(L171&gt;0,"ДСД",0)</f>
        <v>0</v>
      </c>
      <c r="M170" s="818"/>
      <c r="N170" s="11"/>
      <c r="O170" s="818">
        <f>+IF(O171&gt;0,"Общо (Б-т + СЕС + ДСД)",0)</f>
        <v>0</v>
      </c>
      <c r="P170" s="81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818">
        <f>+COUNTIF(F168:G168,"&lt;&gt;0")</f>
        <v>0</v>
      </c>
      <c r="G171" s="818"/>
      <c r="I171" s="818">
        <f>+COUNTIF(I168:J168,"&lt;&gt;0")</f>
        <v>0</v>
      </c>
      <c r="J171" s="818"/>
      <c r="K171" s="11"/>
      <c r="L171" s="818">
        <f>+COUNTIF(L168:M168,"&lt;&gt;0")</f>
        <v>0</v>
      </c>
      <c r="M171" s="818"/>
      <c r="N171" s="11"/>
      <c r="O171" s="818">
        <f>+COUNTIF(O168:P168,"&lt;&gt;0")</f>
        <v>0</v>
      </c>
      <c r="P171" s="81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817">
        <f>+IF(O174&gt;0,"ВСИЧКО: Б-т + СЕС + ДСД + Общо",0)</f>
        <v>0</v>
      </c>
      <c r="P173" s="81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817">
        <f>+SUM(F171:P171)</f>
        <v>0</v>
      </c>
      <c r="P174" s="81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7" sqref="C14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19" t="str">
        <f>+'Cash-Flow-2022-Leva'!B1:F1</f>
        <v>НОИ-ФОНД ГВРС</v>
      </c>
      <c r="C1" s="820"/>
      <c r="D1" s="820"/>
      <c r="E1" s="820"/>
      <c r="F1" s="821"/>
      <c r="G1" s="438" t="s">
        <v>244</v>
      </c>
      <c r="H1" s="121"/>
      <c r="I1" s="822">
        <f>+'Cash-Flow-2022-Leva'!I1:J1</f>
        <v>1210825210299</v>
      </c>
      <c r="J1" s="823"/>
      <c r="K1" s="439"/>
      <c r="L1" s="440" t="s">
        <v>245</v>
      </c>
      <c r="M1" s="441">
        <f>+'Cash-Flow-2022-Leva'!M1</f>
        <v>5592</v>
      </c>
      <c r="N1" s="439"/>
      <c r="O1" s="440" t="s">
        <v>239</v>
      </c>
      <c r="P1" s="451">
        <f>+'Cash-Flow-2022-Leva'!P1</f>
        <v>0</v>
      </c>
      <c r="Q1" s="444"/>
      <c r="R1" s="448" t="s">
        <v>233</v>
      </c>
      <c r="S1" s="824">
        <f>+'Cash-Flow-2022-Leva'!$S$1</f>
        <v>0</v>
      </c>
      <c r="T1" s="82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26" t="s">
        <v>249</v>
      </c>
      <c r="C2" s="827"/>
      <c r="D2" s="827"/>
      <c r="E2" s="827"/>
      <c r="F2" s="82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29" t="str">
        <f>+'Cash-Flow-2022-Leva'!B3:F3</f>
        <v>[Седалище и адрес]</v>
      </c>
      <c r="C3" s="830"/>
      <c r="D3" s="830"/>
      <c r="E3" s="830"/>
      <c r="F3" s="831"/>
      <c r="G3" s="445" t="s">
        <v>238</v>
      </c>
      <c r="H3" s="832">
        <f>+'Cash-Flow-2022-Leva'!H3</f>
        <v>0</v>
      </c>
      <c r="I3" s="833"/>
      <c r="J3" s="833"/>
      <c r="K3" s="834"/>
      <c r="L3" s="51" t="s">
        <v>246</v>
      </c>
      <c r="M3" s="835" t="str">
        <f>+'Cash-Flow-2022-Leva'!M3:P3</f>
        <v>Vanya.Borisova@nssi.bg</v>
      </c>
      <c r="N3" s="836"/>
      <c r="O3" s="836"/>
      <c r="P3" s="83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04">
        <f>+'Cash-Flow-2022-Leva'!B5</f>
        <v>0</v>
      </c>
      <c r="C5" s="704"/>
      <c r="D5" s="839" t="s">
        <v>243</v>
      </c>
      <c r="E5" s="839"/>
      <c r="F5" s="839"/>
      <c r="G5" s="839"/>
      <c r="H5" s="839"/>
      <c r="I5" s="839"/>
      <c r="J5" s="839"/>
      <c r="K5" s="839"/>
      <c r="L5" s="839"/>
      <c r="M5" s="39"/>
      <c r="N5" s="39"/>
      <c r="O5" s="53" t="s">
        <v>17</v>
      </c>
      <c r="P5" s="449">
        <f>+'Cash-Flow-2022-Leva'!P5</f>
        <v>2022</v>
      </c>
      <c r="Q5" s="39"/>
      <c r="R5" s="838" t="s">
        <v>180</v>
      </c>
      <c r="S5" s="838"/>
      <c r="T5" s="838"/>
      <c r="U5" s="6"/>
    </row>
    <row r="6" spans="1:28" s="3" customFormat="1" ht="17.25" customHeight="1">
      <c r="A6" s="6"/>
      <c r="B6" s="847">
        <f>+'Cash-Flow-2022-Leva'!B6</f>
        <v>0</v>
      </c>
      <c r="C6" s="847"/>
      <c r="D6" s="839" t="s">
        <v>242</v>
      </c>
      <c r="E6" s="839"/>
      <c r="F6" s="839"/>
      <c r="G6" s="839"/>
      <c r="H6" s="839"/>
      <c r="I6" s="839"/>
      <c r="J6" s="839"/>
      <c r="K6" s="839"/>
      <c r="L6" s="839"/>
      <c r="M6" s="42"/>
      <c r="N6" s="5"/>
      <c r="O6" s="6"/>
      <c r="P6" s="6"/>
      <c r="Q6" s="1"/>
      <c r="R6" s="840">
        <f>+P4</f>
        <v>0</v>
      </c>
      <c r="S6" s="840"/>
      <c r="T6" s="84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41" t="str">
        <f>+B1</f>
        <v>НОИ-ФОНД ГВРС</v>
      </c>
      <c r="E8" s="841"/>
      <c r="F8" s="841"/>
      <c r="G8" s="841"/>
      <c r="H8" s="841"/>
      <c r="I8" s="841"/>
      <c r="J8" s="841"/>
      <c r="K8" s="841"/>
      <c r="L8" s="841"/>
      <c r="M8" s="446" t="s">
        <v>247</v>
      </c>
      <c r="N8" s="5"/>
      <c r="O8" s="612" t="str">
        <f>+'Cash-Flow-2022-Leva'!O8</f>
        <v>30.09.2022 г.</v>
      </c>
      <c r="P8" s="447" t="s">
        <v>8</v>
      </c>
      <c r="Q8" s="1"/>
      <c r="R8" s="842">
        <f>+P5</f>
        <v>2022</v>
      </c>
      <c r="S8" s="843"/>
      <c r="T8" s="84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30.09.2022 г.</v>
      </c>
      <c r="G11" s="396">
        <f>+'Cash-Flow-2022-Leva'!G11</f>
        <v>2021</v>
      </c>
      <c r="H11" s="5"/>
      <c r="I11" s="604" t="str">
        <f>+O8</f>
        <v>30.09.2022 г.</v>
      </c>
      <c r="J11" s="397">
        <f>+'Cash-Flow-2022-Leva'!J11</f>
        <v>2021</v>
      </c>
      <c r="K11" s="5"/>
      <c r="L11" s="605" t="str">
        <f>+O8</f>
        <v>30.09.2022 г.</v>
      </c>
      <c r="M11" s="398">
        <f>+'Cash-Flow-2022-Leva'!M11</f>
        <v>2021</v>
      </c>
      <c r="N11" s="464"/>
      <c r="O11" s="606" t="str">
        <f>+O8</f>
        <v>30.09.2022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1.283</v>
      </c>
      <c r="G15" s="255">
        <f>+'Cash-Flow-2022-Leva'!G15/1000</f>
        <v>8.27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1.283</v>
      </c>
      <c r="P15" s="378">
        <f aca="true" t="shared" si="1" ref="P15:P24">+G15+J15+M15</f>
        <v>8.27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285</v>
      </c>
      <c r="C16" s="152"/>
      <c r="D16" s="153"/>
      <c r="E16" s="277"/>
      <c r="F16" s="268">
        <f>+'Cash-Flow-2022-Leva'!F16/1000</f>
        <v>0</v>
      </c>
      <c r="G16" s="267">
        <f>+'Cash-Flow-2022-Leva'!G16/1000</f>
        <v>0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287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0.305</v>
      </c>
      <c r="G18" s="255">
        <f>+'Cash-Flow-2022-Leva'!G18/1000</f>
        <v>0.863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0.305</v>
      </c>
      <c r="P18" s="378">
        <f t="shared" si="1"/>
        <v>0.863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0</v>
      </c>
      <c r="G19" s="278">
        <f>+'Cash-Flow-2022-Leva'!G19/1000</f>
        <v>0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0</v>
      </c>
      <c r="G20" s="278">
        <f>+'Cash-Flow-2022-Leva'!G20/1000</f>
        <v>0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0</v>
      </c>
      <c r="P20" s="412">
        <f t="shared" si="1"/>
        <v>0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2106.701</v>
      </c>
      <c r="G22" s="278">
        <f>+'Cash-Flow-2022-Leva'!G22/1000</f>
        <v>2851.426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2106.701</v>
      </c>
      <c r="P22" s="412">
        <f t="shared" si="1"/>
        <v>2851.426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0.81</v>
      </c>
      <c r="G24" s="267">
        <f>+'Cash-Flow-2022-Leva'!G24/1000</f>
        <v>2.123</v>
      </c>
      <c r="H24" s="277"/>
      <c r="I24" s="268">
        <f>+'Cash-Flow-2022-Leva'!I24/1000</f>
        <v>0</v>
      </c>
      <c r="J24" s="267">
        <f>+'Cash-Flow-2022-Leva'!J24/1000</f>
        <v>0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0.81</v>
      </c>
      <c r="P24" s="384">
        <f t="shared" si="1"/>
        <v>2.123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2109.099</v>
      </c>
      <c r="G25" s="235">
        <f>+SUM(G15,G16,G18,G19,G20,G21,G22,G23,G24)</f>
        <v>2862.682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2109.099</v>
      </c>
      <c r="P25" s="363">
        <f>+SUM(P15,P16,P18,P19,P20,P21,P22,P23,P24)</f>
        <v>2862.682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0</v>
      </c>
      <c r="G28" s="278">
        <f>+'Cash-Flow-2022-Leva'!G28/1000</f>
        <v>0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+'Cash-Flow-2022-Leva'!F37/1000</f>
        <v>0</v>
      </c>
      <c r="G37" s="235">
        <f>+'Cash-Flow-2022-Leva'!G37/1000</f>
        <v>0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0</v>
      </c>
      <c r="P37" s="363">
        <f t="shared" si="3"/>
        <v>0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0</v>
      </c>
      <c r="G38" s="280">
        <f>+'Cash-Flow-2022-Leva'!G38/1000</f>
        <v>0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0</v>
      </c>
      <c r="G39" s="282">
        <f>+'Cash-Flow-2022-Leva'!G39/1000</f>
        <v>0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0</v>
      </c>
      <c r="P39" s="414">
        <f t="shared" si="3"/>
        <v>0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0</v>
      </c>
      <c r="G42" s="235">
        <f>+'Cash-Flow-2022-Leva'!G42/1000</f>
        <v>0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0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0</v>
      </c>
      <c r="J44" s="255">
        <f>+'Cash-Flow-2022-Leva'!J44/1000</f>
        <v>0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0</v>
      </c>
      <c r="G47" s="267">
        <f>+'Cash-Flow-2022-Leva'!G47/1000</f>
        <v>0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2109.099</v>
      </c>
      <c r="G50" s="257">
        <f>+G25+G30+G37+G42+G48</f>
        <v>2862.682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2109.099</v>
      </c>
      <c r="P50" s="380">
        <f>+P25+P30+P37+P42+P48</f>
        <v>2862.682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48.631</v>
      </c>
      <c r="G53" s="228">
        <f>+'Cash-Flow-2022-Leva'!G53/1000</f>
        <v>91.565</v>
      </c>
      <c r="H53" s="277"/>
      <c r="I53" s="238">
        <f>+'Cash-Flow-2022-Leva'!I53/1000</f>
        <v>0</v>
      </c>
      <c r="J53" s="228">
        <f>+'Cash-Flow-2022-Leva'!J53/1000</f>
        <v>0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48.631</v>
      </c>
      <c r="P53" s="359">
        <f t="shared" si="5"/>
        <v>91.565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15</v>
      </c>
      <c r="G54" s="267">
        <f>+'Cash-Flow-2022-Leva'!G54/1000</f>
        <v>23.844</v>
      </c>
      <c r="H54" s="277"/>
      <c r="I54" s="268">
        <f>+'Cash-Flow-2022-Leva'!I54/1000</f>
        <v>0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15</v>
      </c>
      <c r="P54" s="384">
        <f t="shared" si="5"/>
        <v>23.844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1.21</v>
      </c>
      <c r="G55" s="267">
        <f>+'Cash-Flow-2022-Leva'!G55/1000</f>
        <v>2.432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1.21</v>
      </c>
      <c r="P55" s="384">
        <f t="shared" si="5"/>
        <v>2.432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69.237</v>
      </c>
      <c r="G56" s="267">
        <f>+'Cash-Flow-2022-Leva'!G56/1000</f>
        <v>94.049</v>
      </c>
      <c r="H56" s="277"/>
      <c r="I56" s="268">
        <f>+'Cash-Flow-2022-Leva'!I56/1000</f>
        <v>0</v>
      </c>
      <c r="J56" s="267">
        <f>+'Cash-Flow-2022-Leva'!J56/1000</f>
        <v>0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69.237</v>
      </c>
      <c r="P56" s="384">
        <f t="shared" si="5"/>
        <v>94.049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7.824</v>
      </c>
      <c r="G57" s="267">
        <f>+'Cash-Flow-2022-Leva'!G57/1000</f>
        <v>4.146</v>
      </c>
      <c r="H57" s="277"/>
      <c r="I57" s="268">
        <f>+'Cash-Flow-2022-Leva'!I57/1000</f>
        <v>0</v>
      </c>
      <c r="J57" s="267">
        <f>+'Cash-Flow-2022-Leva'!J57/1000</f>
        <v>0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7.824</v>
      </c>
      <c r="P57" s="384">
        <f t="shared" si="5"/>
        <v>4.146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141.902</v>
      </c>
      <c r="G58" s="261">
        <f>+SUM(G53:G57)</f>
        <v>216.03599999999997</v>
      </c>
      <c r="H58" s="277"/>
      <c r="I58" s="262">
        <f>+SUM(I53:I57)</f>
        <v>0</v>
      </c>
      <c r="J58" s="261">
        <f>+SUM(J53:J57)</f>
        <v>0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141.902</v>
      </c>
      <c r="P58" s="382">
        <f>+SUM(P53:P57)</f>
        <v>216.03599999999997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0</v>
      </c>
      <c r="G61" s="267">
        <f>+'Cash-Flow-2022-Leva'!G61/1000</f>
        <v>0</v>
      </c>
      <c r="H61" s="277"/>
      <c r="I61" s="268">
        <f>+'Cash-Flow-2022-Leva'!I61/1000</f>
        <v>0</v>
      </c>
      <c r="J61" s="267">
        <f>+'Cash-Flow-2022-Leva'!J61/1000</f>
        <v>0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0</v>
      </c>
      <c r="P61" s="384">
        <f t="shared" si="6"/>
        <v>0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0</v>
      </c>
      <c r="G62" s="267">
        <f>+'Cash-Flow-2022-Leva'!G62/1000</f>
        <v>0</v>
      </c>
      <c r="H62" s="277"/>
      <c r="I62" s="268">
        <f>+'Cash-Flow-2022-Leva'!I62/1000</f>
        <v>0</v>
      </c>
      <c r="J62" s="267">
        <f>+'Cash-Flow-2022-Leva'!J62/1000</f>
        <v>0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0</v>
      </c>
      <c r="P62" s="384">
        <f t="shared" si="6"/>
        <v>0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0</v>
      </c>
      <c r="G65" s="261">
        <f>+SUM(G60:G63)</f>
        <v>0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0</v>
      </c>
      <c r="P65" s="382">
        <f>+SUM(P60:P63)</f>
        <v>0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0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908.212</v>
      </c>
      <c r="G71" s="228">
        <f>+'Cash-Flow-2022-Leva'!G71/1000</f>
        <v>3663.051</v>
      </c>
      <c r="H71" s="277"/>
      <c r="I71" s="238">
        <f>+'Cash-Flow-2022-Leva'!I71/1000</f>
        <v>0</v>
      </c>
      <c r="J71" s="228">
        <f>+'Cash-Flow-2022-Leva'!J71/1000</f>
        <v>0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908.212</v>
      </c>
      <c r="P71" s="359">
        <f>+G71+J71+M71</f>
        <v>3663.051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908.212</v>
      </c>
      <c r="G73" s="261">
        <f>+SUM(G71:G72)</f>
        <v>3663.051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908.212</v>
      </c>
      <c r="P73" s="382">
        <f>+SUM(P71:P72)</f>
        <v>3663.051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0</v>
      </c>
      <c r="G75" s="228">
        <f>+'Cash-Flow-2022-Leva'!G75/1000</f>
        <v>0</v>
      </c>
      <c r="H75" s="277"/>
      <c r="I75" s="238">
        <f>+'Cash-Flow-2022-Leva'!I75/1000</f>
        <v>0</v>
      </c>
      <c r="J75" s="228">
        <f>+'Cash-Flow-2022-Leva'!J75/1000</f>
        <v>0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0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1050.114</v>
      </c>
      <c r="G79" s="272">
        <f>+G58+G65+G69+G73+G77</f>
        <v>3879.087</v>
      </c>
      <c r="H79" s="277"/>
      <c r="I79" s="269">
        <f>+I58+I65+I69+I73+I77</f>
        <v>0</v>
      </c>
      <c r="J79" s="272">
        <f>+J58+J65+J69+J73+J77</f>
        <v>0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1050.114</v>
      </c>
      <c r="P79" s="392">
        <f>+P58+P65+P69+P73+P77</f>
        <v>3879.087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6.022</v>
      </c>
      <c r="G81" s="255">
        <f>+'Cash-Flow-2022-Leva'!G81/1000</f>
        <v>0</v>
      </c>
      <c r="H81" s="277"/>
      <c r="I81" s="256">
        <f>+'Cash-Flow-2022-Leva'!I81/1000</f>
        <v>0</v>
      </c>
      <c r="J81" s="255">
        <f>+'Cash-Flow-2022-Leva'!J81/1000</f>
        <v>0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6.022</v>
      </c>
      <c r="P81" s="378">
        <f>+G81+J81+M81</f>
        <v>0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6.022</v>
      </c>
      <c r="G83" s="270">
        <f>+G81+G82</f>
        <v>0</v>
      </c>
      <c r="H83" s="277"/>
      <c r="I83" s="271">
        <f>+I81+I82</f>
        <v>0</v>
      </c>
      <c r="J83" s="270">
        <f>+J81+J82</f>
        <v>0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6.022</v>
      </c>
      <c r="P83" s="387">
        <f>+P81+P82</f>
        <v>0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4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46"/>
      <c r="D84" s="846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1065.007</v>
      </c>
      <c r="G85" s="291">
        <f>+G50-G79+G83</f>
        <v>-1016.4050000000002</v>
      </c>
      <c r="H85" s="277"/>
      <c r="I85" s="292">
        <f>+I50-I79+I83</f>
        <v>0</v>
      </c>
      <c r="J85" s="291">
        <f>+J50-J79+J83</f>
        <v>0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1065.007</v>
      </c>
      <c r="P85" s="389">
        <f>+P50-P79+P83</f>
        <v>-1016.4050000000002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-1065.0070000000123</v>
      </c>
      <c r="G86" s="293">
        <f>+G103+G122+G129-G134</f>
        <v>1016.4050000000113</v>
      </c>
      <c r="H86" s="277"/>
      <c r="I86" s="294">
        <f>+I103+I122+I129-I134</f>
        <v>0</v>
      </c>
      <c r="J86" s="293">
        <f>+J103+J122+J129-J134</f>
        <v>0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-1065.0070000000123</v>
      </c>
      <c r="P86" s="391">
        <f>+P103+P122+P129-P134</f>
        <v>1016.4050000000113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279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-18506.317</v>
      </c>
      <c r="G99" s="255">
        <f>+'Cash-Flow-2022-Leva'!G99/1000</f>
        <v>1068.361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-18506.317</v>
      </c>
      <c r="P99" s="378">
        <f>+G99+J99+M99</f>
        <v>1068.361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0</v>
      </c>
      <c r="G100" s="267">
        <f>+'Cash-Flow-2022-Leva'!G100/1000</f>
        <v>0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-18506.317</v>
      </c>
      <c r="G101" s="235">
        <f>+SUM(G99:G100)</f>
        <v>1068.361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-18506.317</v>
      </c>
      <c r="P101" s="363">
        <f>+SUM(P99:P100)</f>
        <v>1068.361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-18506.317</v>
      </c>
      <c r="G103" s="257">
        <f>+G91+G97+G101</f>
        <v>1068.361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-18506.317</v>
      </c>
      <c r="P103" s="380">
        <f>+P91+P97+P101</f>
        <v>1068.361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0</v>
      </c>
      <c r="G118" s="228">
        <f>+'Cash-Flow-2022-Leva'!G118/1000</f>
        <v>0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0</v>
      </c>
      <c r="M118" s="228">
        <f>+'Cash-Flow-2022-Leva'!M118/1000</f>
        <v>0</v>
      </c>
      <c r="N118" s="465"/>
      <c r="O118" s="366">
        <f>+F118+I118+L118</f>
        <v>0</v>
      </c>
      <c r="P118" s="359">
        <f>+G118+J118+M118</f>
        <v>0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0</v>
      </c>
      <c r="G119" s="267">
        <f>+'Cash-Flow-2022-Leva'!G119/1000</f>
        <v>0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0</v>
      </c>
      <c r="M120" s="261">
        <f>+SUM(M118:M119)</f>
        <v>0</v>
      </c>
      <c r="N120" s="465"/>
      <c r="O120" s="381">
        <f>+SUM(O118:O119)</f>
        <v>0</v>
      </c>
      <c r="P120" s="382">
        <f>+SUM(P118:P119)</f>
        <v>0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0</v>
      </c>
      <c r="M122" s="272">
        <f>+M108+M112+M116+M120</f>
        <v>0</v>
      </c>
      <c r="N122" s="465"/>
      <c r="O122" s="385">
        <f>+O108+O112+O116+O120</f>
        <v>0</v>
      </c>
      <c r="P122" s="392">
        <f>+P108+P112+P116+P120</f>
        <v>0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0.476</v>
      </c>
      <c r="G125" s="267">
        <f>+'Cash-Flow-2022-Leva'!G125/1000</f>
        <v>-0.075</v>
      </c>
      <c r="H125" s="277"/>
      <c r="I125" s="268">
        <f>+'Cash-Flow-2022-Leva'!I125/1000</f>
        <v>0</v>
      </c>
      <c r="J125" s="267">
        <f>+'Cash-Flow-2022-Leva'!J125/1000</f>
        <v>0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0.476</v>
      </c>
      <c r="P125" s="384">
        <f t="shared" si="8"/>
        <v>-0.075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-10.659</v>
      </c>
      <c r="G126" s="267">
        <f>+'Cash-Flow-2022-Leva'!G126/1000</f>
        <v>0.01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-10.659</v>
      </c>
      <c r="P126" s="384">
        <f t="shared" si="8"/>
        <v>0.01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283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-10.183</v>
      </c>
      <c r="G129" s="270">
        <f>+SUM(G124,G125,G126,G128)</f>
        <v>-0.065</v>
      </c>
      <c r="H129" s="277"/>
      <c r="I129" s="271">
        <f>+SUM(I124,I125,I126,I128)</f>
        <v>0</v>
      </c>
      <c r="J129" s="270">
        <f>+SUM(J124,J125,J126,J128)</f>
        <v>0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-10.183</v>
      </c>
      <c r="P129" s="387">
        <f>+SUM(P124,P125,P126,P128)</f>
        <v>-0.065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100674.184</v>
      </c>
      <c r="G131" s="255">
        <f>+'Cash-Flow-2022-Leva'!G131/1000</f>
        <v>100622.293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0</v>
      </c>
      <c r="M131" s="255">
        <f>+'Cash-Flow-2022-Leva'!M131/1000</f>
        <v>0</v>
      </c>
      <c r="N131" s="465"/>
      <c r="O131" s="365">
        <f aca="true" t="shared" si="9" ref="O131:P133">+F131+I131+L131</f>
        <v>100674.184</v>
      </c>
      <c r="P131" s="378">
        <f t="shared" si="9"/>
        <v>100622.293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293</v>
      </c>
      <c r="C132" s="152"/>
      <c r="D132" s="153"/>
      <c r="E132" s="277"/>
      <c r="F132" s="268">
        <f>+'Cash-Flow-2022-Leva'!F132/1000</f>
        <v>0</v>
      </c>
      <c r="G132" s="267">
        <f>+'Cash-Flow-2022-Leva'!G132/1000</f>
        <v>0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83222.691</v>
      </c>
      <c r="G133" s="267">
        <f>+'Cash-Flow-2022-Leva'!G133/1000</f>
        <v>100674.184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0</v>
      </c>
      <c r="M133" s="267">
        <f>+'Cash-Flow-2022-Leva'!M133/1000</f>
        <v>0</v>
      </c>
      <c r="N133" s="465"/>
      <c r="O133" s="361">
        <f t="shared" si="9"/>
        <v>83222.691</v>
      </c>
      <c r="P133" s="384">
        <f t="shared" si="9"/>
        <v>100674.184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-17451.492999999988</v>
      </c>
      <c r="G134" s="275">
        <f>+G133-G131-G132</f>
        <v>51.89099999998871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0</v>
      </c>
      <c r="M134" s="275">
        <f>+M133-M131-M132</f>
        <v>0</v>
      </c>
      <c r="N134" s="465"/>
      <c r="O134" s="394">
        <f>+O133-O131-O132</f>
        <v>-17451.492999999988</v>
      </c>
      <c r="P134" s="395">
        <f>+P133-P131-P132</f>
        <v>51.89099999998871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4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45"/>
      <c r="D135" s="845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296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291</v>
      </c>
      <c r="C137" s="156"/>
      <c r="D137" s="157"/>
      <c r="E137" s="277"/>
      <c r="F137" s="256">
        <f>+'Cash-Flow-2022-Leva'!F137/1000</f>
        <v>0</v>
      </c>
      <c r="G137" s="255">
        <f>+'Cash-Flow-2022-Leva'!G137/1000</f>
        <v>0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299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292</v>
      </c>
      <c r="C139" s="176"/>
      <c r="D139" s="177"/>
      <c r="E139" s="277"/>
      <c r="F139" s="268">
        <f>+'Cash-Flow-2022-Leva'!F139/1000</f>
        <v>0</v>
      </c>
      <c r="G139" s="267">
        <f>+'Cash-Flow-2022-Leva'!G139/1000</f>
        <v>0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324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303</v>
      </c>
      <c r="C142" s="536"/>
      <c r="D142" s="537"/>
      <c r="E142" s="277"/>
      <c r="F142" s="276">
        <f>+F134+F140</f>
        <v>-17451.492999999988</v>
      </c>
      <c r="G142" s="275">
        <f>+G134+G140</f>
        <v>51.89099999998871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0</v>
      </c>
      <c r="M142" s="539">
        <f>+M134+M140</f>
        <v>0</v>
      </c>
      <c r="N142" s="465"/>
      <c r="O142" s="563">
        <f>+O134+O140</f>
        <v>-17451.492999999988</v>
      </c>
      <c r="P142" s="564">
        <f>+P134+P140</f>
        <v>51.89099999998871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21102022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274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275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272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273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322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321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Полина П. Караиванова</cp:lastModifiedBy>
  <cp:lastPrinted>2022-07-26T12:02:35Z</cp:lastPrinted>
  <dcterms:created xsi:type="dcterms:W3CDTF">2015-12-01T07:17:04Z</dcterms:created>
  <dcterms:modified xsi:type="dcterms:W3CDTF">2022-10-13T06:36:30Z</dcterms:modified>
  <cp:category/>
  <cp:version/>
  <cp:contentType/>
  <cp:contentStatus/>
</cp:coreProperties>
</file>